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C:\Users\maleksanyan\Desktop\"/>
    </mc:Choice>
  </mc:AlternateContent>
  <bookViews>
    <workbookView xWindow="12705" yWindow="-15" windowWidth="12540" windowHeight="11715" tabRatio="611" activeTab="3"/>
  </bookViews>
  <sheets>
    <sheet name="Real" sheetId="1" r:id="rId1"/>
    <sheet name="Mon" sheetId="2" r:id="rId2"/>
    <sheet name="Fis" sheetId="8" r:id="rId3"/>
    <sheet name="Ext" sheetId="3"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DATES">#REF!</definedName>
    <definedName name="DES" localSheetId="2">'[1]From CEIC database'!#REF!</definedName>
    <definedName name="DES">#REF!</definedName>
    <definedName name="IDS" localSheetId="2">'[1]From CEIC database'!#REF!</definedName>
    <definedName name="IDS">#REF!</definedName>
    <definedName name="OBS" localSheetId="2">'[1]From CEIC database'!#REF!</definedName>
    <definedName name="OBS">#REF!</definedName>
    <definedName name="_xlnm.Print_Area" localSheetId="3">Ext!$A$1:$EN$43</definedName>
    <definedName name="_xlnm.Print_Area" localSheetId="2">Fis!$A$1:$EM$57</definedName>
    <definedName name="_xlnm.Print_Area" localSheetId="1">Mon!$A$1:$EN$57</definedName>
    <definedName name="_xlnm.Print_Area" localSheetId="0">Real!$A$1:$EY$92</definedName>
    <definedName name="UNITS" localSheetId="2">'[1]From CEIC database'!#REF!</definedName>
    <definedName name="UNITS">#REF!</definedName>
  </definedNames>
  <calcPr calcId="171027"/>
</workbook>
</file>

<file path=xl/calcChain.xml><?xml version="1.0" encoding="utf-8"?>
<calcChain xmlns="http://schemas.openxmlformats.org/spreadsheetml/2006/main">
  <c r="B42" i="3" l="1"/>
  <c r="D42" i="3"/>
  <c r="E42" i="3"/>
  <c r="F42" i="3"/>
  <c r="G42" i="3"/>
  <c r="J42" i="3"/>
  <c r="M42" i="3"/>
  <c r="O42" i="3"/>
  <c r="P42" i="3"/>
  <c r="Q42" i="3"/>
  <c r="EH21" i="2"/>
  <c r="EH13" i="2"/>
  <c r="EH12" i="2"/>
  <c r="EH11" i="2"/>
  <c r="EH10" i="2"/>
  <c r="EH9" i="2"/>
  <c r="EH17" i="2"/>
  <c r="ED22" i="8" l="1"/>
  <c r="ED32" i="8"/>
  <c r="ED31" i="8"/>
  <c r="ED30" i="8"/>
  <c r="ED29" i="8"/>
  <c r="ED28" i="8"/>
  <c r="ED27" i="8"/>
  <c r="ED26" i="8"/>
  <c r="ED25" i="8"/>
  <c r="ED24" i="8"/>
  <c r="ED23" i="8"/>
  <c r="EG17" i="8"/>
  <c r="EB17" i="8"/>
  <c r="ED47" i="8"/>
  <c r="EG47" i="8" s="1"/>
  <c r="EQ34" i="1" l="1"/>
  <c r="ER34" i="1"/>
  <c r="ES34" i="1"/>
  <c r="EQ35" i="1"/>
  <c r="ER35" i="1"/>
  <c r="ES35" i="1"/>
  <c r="EQ36" i="1"/>
  <c r="ER36" i="1"/>
  <c r="ES36" i="1"/>
  <c r="EP38" i="1"/>
  <c r="EQ38" i="1"/>
  <c r="ER38" i="1"/>
  <c r="ES38" i="1"/>
  <c r="EP39" i="1"/>
  <c r="EQ39" i="1"/>
  <c r="ER39" i="1"/>
  <c r="ES39" i="1"/>
  <c r="EQ23" i="1"/>
  <c r="ER23" i="1"/>
  <c r="ES23" i="1"/>
  <c r="EQ24" i="1"/>
  <c r="ER24" i="1"/>
  <c r="ES24" i="1"/>
  <c r="EQ25" i="1"/>
  <c r="ER25" i="1"/>
  <c r="ES25" i="1"/>
  <c r="ES12" i="1"/>
  <c r="EP12" i="1"/>
  <c r="EH31" i="2" l="1"/>
  <c r="EG31" i="2"/>
  <c r="EF31" i="2"/>
  <c r="EE31" i="2"/>
  <c r="EH34" i="2"/>
  <c r="EG34" i="2"/>
  <c r="EF34" i="2"/>
  <c r="EE34" i="2"/>
  <c r="EG13" i="2"/>
  <c r="EG11" i="2"/>
  <c r="EF11" i="2"/>
  <c r="EG10" i="2"/>
  <c r="EF10" i="2"/>
  <c r="EG9" i="2"/>
  <c r="EF9" i="2"/>
  <c r="EE13" i="2"/>
  <c r="EE11" i="2"/>
  <c r="EE10" i="2"/>
  <c r="EE9" i="2"/>
  <c r="ED11" i="2"/>
  <c r="ED10" i="2"/>
  <c r="ED9" i="2"/>
  <c r="EF16" i="2"/>
  <c r="EE16" i="2"/>
  <c r="EG18" i="2"/>
  <c r="EG21" i="2" s="1"/>
  <c r="EF18" i="2"/>
  <c r="EF13" i="2" s="1"/>
  <c r="EE18" i="2"/>
  <c r="EE21" i="2" s="1"/>
  <c r="ED18" i="2"/>
  <c r="ED13" i="2" s="1"/>
  <c r="EG17" i="2"/>
  <c r="EG12" i="2" s="1"/>
  <c r="EF17" i="2"/>
  <c r="EF12" i="2" s="1"/>
  <c r="EE17" i="2"/>
  <c r="EE12" i="2" s="1"/>
  <c r="ED17" i="2"/>
  <c r="ED12" i="2" s="1"/>
  <c r="EH16" i="2"/>
  <c r="EG16" i="2"/>
  <c r="ED16" i="2"/>
  <c r="EH15" i="2"/>
  <c r="EG15" i="2"/>
  <c r="EF15" i="2"/>
  <c r="EE15" i="2"/>
  <c r="ED15" i="2"/>
  <c r="EH14" i="2"/>
  <c r="EG14" i="2"/>
  <c r="EF14" i="2"/>
  <c r="EE14" i="2"/>
  <c r="ED14" i="2"/>
  <c r="ED21" i="2" l="1"/>
  <c r="EF21" i="2"/>
  <c r="EH38" i="3"/>
  <c r="EG38" i="3"/>
  <c r="EF38" i="3"/>
  <c r="EE38" i="3"/>
  <c r="EH35" i="3"/>
  <c r="EG35" i="3"/>
  <c r="EF35" i="3"/>
  <c r="EE35" i="3"/>
  <c r="ED35" i="3"/>
  <c r="ED33" i="3" l="1"/>
  <c r="ED32" i="3"/>
  <c r="ED31" i="3"/>
  <c r="EH30" i="3"/>
  <c r="EG30" i="3"/>
  <c r="EF30" i="3"/>
  <c r="EE30" i="3"/>
  <c r="ED30" i="3"/>
  <c r="EH29" i="3"/>
  <c r="EG29" i="3"/>
  <c r="EF29" i="3"/>
  <c r="EE29" i="3"/>
  <c r="ED29" i="3"/>
  <c r="ED24" i="3"/>
  <c r="ED23" i="3"/>
  <c r="ED22" i="3"/>
  <c r="ED21" i="3"/>
  <c r="ED19" i="3"/>
  <c r="EH10" i="3"/>
  <c r="EG10" i="3"/>
  <c r="EF10" i="3"/>
  <c r="EE10" i="3"/>
  <c r="ED10" i="3"/>
  <c r="ED34" i="2" l="1"/>
  <c r="EC34" i="2"/>
  <c r="EB34" i="2"/>
  <c r="DZ34" i="2"/>
  <c r="DY34" i="2"/>
  <c r="DX34" i="2"/>
  <c r="DW34" i="2"/>
  <c r="DV34" i="2"/>
  <c r="DU34" i="2"/>
  <c r="DT34" i="2"/>
  <c r="DS34" i="2"/>
  <c r="ED31" i="2"/>
  <c r="EC31" i="2"/>
  <c r="EB31" i="2"/>
  <c r="DZ31" i="2"/>
  <c r="DY31" i="2"/>
  <c r="DX31" i="2"/>
  <c r="DW31" i="2"/>
  <c r="DV31" i="2"/>
  <c r="DU31" i="2"/>
  <c r="DT31" i="2"/>
  <c r="DS31" i="2"/>
  <c r="EC18" i="2" l="1"/>
  <c r="EC13" i="2" s="1"/>
  <c r="EB18" i="2"/>
  <c r="EB13" i="2" s="1"/>
  <c r="EB21" i="2" l="1"/>
  <c r="EC21" i="2"/>
  <c r="DZ18" i="2"/>
  <c r="DZ13" i="2" s="1"/>
  <c r="DY18" i="2"/>
  <c r="DY13" i="2" s="1"/>
  <c r="DY21" i="2" l="1"/>
  <c r="DZ21" i="2"/>
  <c r="DX18" i="2" l="1"/>
  <c r="DX13" i="2" s="1"/>
  <c r="DX21" i="2" l="1"/>
  <c r="DW18" i="2" l="1"/>
  <c r="DW13" i="2" s="1"/>
  <c r="DV18" i="2"/>
  <c r="DV13" i="2" s="1"/>
  <c r="DU18" i="2"/>
  <c r="DU13" i="2" s="1"/>
  <c r="DT18" i="2"/>
  <c r="DT13" i="2" s="1"/>
  <c r="DS18" i="2"/>
  <c r="DQ13" i="2" l="1"/>
  <c r="DS13" i="2"/>
  <c r="DS21" i="2"/>
  <c r="DU21" i="2"/>
  <c r="DW21" i="2"/>
  <c r="DT21" i="2"/>
  <c r="DV21" i="2"/>
  <c r="DR18" i="2"/>
  <c r="DP13" i="2" l="1"/>
  <c r="DR13" i="2"/>
  <c r="DR21" i="2"/>
  <c r="DQ18" i="2" l="1"/>
  <c r="DO13" i="2" s="1"/>
  <c r="DP18" i="2"/>
  <c r="DO18" i="2"/>
  <c r="DM18" i="2" l="1"/>
  <c r="DL18" i="2"/>
  <c r="DK18" i="2"/>
  <c r="DJ18" i="2" l="1"/>
  <c r="DI18" i="2" l="1"/>
  <c r="DH18" i="2"/>
  <c r="DG18" i="2"/>
  <c r="DF18" i="2"/>
  <c r="DE18" i="2"/>
  <c r="DD18" i="2" l="1"/>
  <c r="DC18" i="2"/>
  <c r="DB18" i="2" l="1"/>
  <c r="CZ18" i="2"/>
  <c r="CY18" i="2" l="1"/>
  <c r="CX18" i="2"/>
  <c r="CW18" i="2" l="1"/>
  <c r="CV18" i="2"/>
  <c r="CU18" i="2"/>
  <c r="CT18" i="2"/>
  <c r="CS18" i="2"/>
  <c r="CR18" i="2"/>
  <c r="CQ18" i="2" l="1"/>
  <c r="CP18" i="2" l="1"/>
  <c r="CO18" i="2" l="1"/>
  <c r="EC16" i="2" l="1"/>
  <c r="EC11" i="2" s="1"/>
  <c r="EC15" i="2"/>
  <c r="EC10" i="2" s="1"/>
  <c r="EC14" i="2"/>
  <c r="EC9" i="2" s="1"/>
  <c r="EB16" i="2"/>
  <c r="EB11" i="2" s="1"/>
  <c r="EB15" i="2"/>
  <c r="EB10" i="2" s="1"/>
  <c r="EB14" i="2"/>
  <c r="EB9" i="2" s="1"/>
  <c r="DZ16" i="2"/>
  <c r="DZ11" i="2" s="1"/>
  <c r="DY16" i="2"/>
  <c r="DY11" i="2" s="1"/>
  <c r="DX16" i="2"/>
  <c r="DX11" i="2" s="1"/>
  <c r="DZ15" i="2"/>
  <c r="DZ10" i="2" s="1"/>
  <c r="DY15" i="2"/>
  <c r="DY10" i="2" s="1"/>
  <c r="DX15" i="2"/>
  <c r="DX10" i="2" s="1"/>
  <c r="DZ14" i="2"/>
  <c r="DZ9" i="2" s="1"/>
  <c r="DY14" i="2"/>
  <c r="DY9" i="2" s="1"/>
  <c r="DX14" i="2"/>
  <c r="DX9" i="2" s="1"/>
  <c r="DW16" i="2"/>
  <c r="DW11" i="2" s="1"/>
  <c r="DV16" i="2"/>
  <c r="DV11" i="2" s="1"/>
  <c r="DU16" i="2"/>
  <c r="DU11" i="2" s="1"/>
  <c r="DT16" i="2"/>
  <c r="DT11" i="2" s="1"/>
  <c r="DS16" i="2"/>
  <c r="DS11" i="2" s="1"/>
  <c r="DR16" i="2"/>
  <c r="DR11" i="2" s="1"/>
  <c r="DW15" i="2"/>
  <c r="DW10" i="2" s="1"/>
  <c r="DV15" i="2"/>
  <c r="DV10" i="2" s="1"/>
  <c r="DU15" i="2"/>
  <c r="DU10" i="2" s="1"/>
  <c r="DT15" i="2"/>
  <c r="DT10" i="2" s="1"/>
  <c r="DS15" i="2"/>
  <c r="DS10" i="2" s="1"/>
  <c r="DR15" i="2"/>
  <c r="DR10" i="2" s="1"/>
  <c r="DW14" i="2"/>
  <c r="DW9" i="2" s="1"/>
  <c r="DV14" i="2"/>
  <c r="DV9" i="2" s="1"/>
  <c r="DU14" i="2"/>
  <c r="DU9" i="2" s="1"/>
  <c r="DT14" i="2"/>
  <c r="DT9" i="2" s="1"/>
  <c r="DS14" i="2"/>
  <c r="DS9" i="2" s="1"/>
  <c r="DR14" i="2"/>
  <c r="DR9" i="2" s="1"/>
  <c r="CK15" i="2" l="1"/>
  <c r="CJ15" i="2"/>
  <c r="CI15" i="2"/>
  <c r="CH15" i="2"/>
  <c r="CG15" i="2"/>
  <c r="CF15" i="2"/>
  <c r="CE15" i="2"/>
  <c r="CD15" i="2"/>
  <c r="CC15" i="2"/>
  <c r="CK14" i="2"/>
  <c r="CJ14" i="2"/>
  <c r="CI14" i="2"/>
  <c r="CH14" i="2"/>
  <c r="CG14" i="2"/>
  <c r="CF14" i="2"/>
  <c r="CE14" i="2"/>
  <c r="CD14" i="2"/>
  <c r="CC14" i="2"/>
  <c r="CB14" i="2"/>
  <c r="CB9" i="2" s="1"/>
  <c r="BZ14" i="2"/>
  <c r="BY14" i="2"/>
  <c r="BX14" i="2"/>
  <c r="BW14" i="2"/>
  <c r="BV14" i="2"/>
  <c r="BU14" i="2"/>
  <c r="BT14" i="2"/>
  <c r="BS14" i="2"/>
  <c r="BR14" i="2"/>
  <c r="BQ14" i="2"/>
  <c r="BP14" i="2"/>
  <c r="BO14" i="2"/>
  <c r="BO9" i="2" s="1"/>
  <c r="CB15" i="2"/>
  <c r="CB10" i="2" s="1"/>
  <c r="BZ15" i="2"/>
  <c r="BY15" i="2"/>
  <c r="BX15" i="2"/>
  <c r="BW15" i="2"/>
  <c r="BV15" i="2"/>
  <c r="BU15" i="2"/>
  <c r="BT15" i="2"/>
  <c r="BS15" i="2"/>
  <c r="BR15" i="2"/>
  <c r="BQ15" i="2"/>
  <c r="BP15" i="2"/>
  <c r="BO15" i="2"/>
  <c r="CQ15" i="2"/>
  <c r="CS15" i="2"/>
  <c r="CT15" i="2"/>
  <c r="CX15" i="2"/>
  <c r="CY15" i="2"/>
  <c r="DC15" i="2"/>
  <c r="DD15" i="2"/>
  <c r="DF15" i="2"/>
  <c r="DJ15" i="2"/>
  <c r="CO14" i="2"/>
  <c r="CQ14" i="2"/>
  <c r="CS14" i="2"/>
  <c r="DB14" i="2"/>
  <c r="DF14" i="2"/>
  <c r="DH14" i="2"/>
  <c r="DJ14" i="2"/>
  <c r="DQ14" i="2"/>
  <c r="BO16" i="2"/>
  <c r="BR16" i="2"/>
  <c r="BU16" i="2"/>
  <c r="BV16" i="2"/>
  <c r="BZ16" i="2"/>
  <c r="CD16" i="2"/>
  <c r="CE16" i="2"/>
  <c r="CF16" i="2"/>
  <c r="CI16" i="2"/>
  <c r="CJ16" i="2"/>
  <c r="DO16" i="2" l="1"/>
  <c r="DO15" i="2"/>
  <c r="CH16" i="2"/>
  <c r="BY16" i="2"/>
  <c r="DB15" i="2"/>
  <c r="CO15" i="2"/>
  <c r="BQ16" i="2"/>
  <c r="CB16" i="2"/>
  <c r="CB11" i="2" s="1"/>
  <c r="BW16" i="2"/>
  <c r="BS16" i="2"/>
  <c r="DF16" i="2"/>
  <c r="CO16" i="2"/>
  <c r="DL14" i="2"/>
  <c r="CY14" i="2"/>
  <c r="CU14" i="2"/>
  <c r="CK16" i="2"/>
  <c r="CG16" i="2"/>
  <c r="CC16" i="2"/>
  <c r="BX16" i="2"/>
  <c r="BT16" i="2"/>
  <c r="BP16" i="2"/>
  <c r="DM14" i="2"/>
  <c r="DE14" i="2"/>
  <c r="CZ14" i="2"/>
  <c r="CV14" i="2"/>
  <c r="CM14" i="2"/>
  <c r="DQ15" i="2"/>
  <c r="DH15" i="2"/>
  <c r="CL15" i="2"/>
  <c r="CW15" i="2"/>
  <c r="DP15" i="2"/>
  <c r="DK15" i="2"/>
  <c r="CW16" i="2"/>
  <c r="DG15" i="2"/>
  <c r="DJ16" i="2"/>
  <c r="CP15" i="2"/>
  <c r="DH16" i="2"/>
  <c r="CZ16" i="2"/>
  <c r="DE16" i="2"/>
  <c r="DI14" i="2"/>
  <c r="CR14" i="2"/>
  <c r="DL15" i="2"/>
  <c r="CU15" i="2"/>
  <c r="DI16" i="2"/>
  <c r="DD14" i="2"/>
  <c r="CL14" i="2"/>
  <c r="DO14" i="2"/>
  <c r="CW14" i="2"/>
  <c r="CL16" i="2"/>
  <c r="DP14" i="2"/>
  <c r="DK14" i="2"/>
  <c r="DG14" i="2"/>
  <c r="DC14" i="2"/>
  <c r="CX14" i="2"/>
  <c r="CT14" i="2"/>
  <c r="CP14" i="2"/>
  <c r="DM15" i="2"/>
  <c r="DI15" i="2"/>
  <c r="DE15" i="2"/>
  <c r="CZ15" i="2"/>
  <c r="CV15" i="2"/>
  <c r="CR15" i="2"/>
  <c r="CM15" i="2"/>
  <c r="DD16" i="2" l="1"/>
  <c r="DB16" i="2"/>
  <c r="DL16" i="2"/>
  <c r="CQ16" i="2"/>
  <c r="CR16" i="2"/>
  <c r="DM16" i="2"/>
  <c r="DQ16" i="2"/>
  <c r="CU16" i="2"/>
  <c r="CM16" i="2"/>
  <c r="CV16" i="2"/>
  <c r="CS16" i="2"/>
  <c r="CY16" i="2"/>
  <c r="DC16" i="2"/>
  <c r="DP16" i="2"/>
  <c r="CX16" i="2"/>
  <c r="DG16" i="2"/>
  <c r="CT16" i="2"/>
  <c r="CP16" i="2"/>
  <c r="DK16" i="2"/>
  <c r="EC17" i="2" l="1"/>
  <c r="EC12" i="2" s="1"/>
  <c r="EB17" i="2"/>
  <c r="EB12" i="2" s="1"/>
  <c r="DZ17" i="2"/>
  <c r="DZ12" i="2" s="1"/>
  <c r="DY17" i="2"/>
  <c r="DY12" i="2" s="1"/>
  <c r="DX17" i="2"/>
  <c r="DX12" i="2" s="1"/>
  <c r="DW17" i="2"/>
  <c r="DW12" i="2" s="1"/>
  <c r="DV17" i="2"/>
  <c r="DV12" i="2" s="1"/>
  <c r="DU17" i="2"/>
  <c r="DU12" i="2" s="1"/>
  <c r="DT17" i="2"/>
  <c r="DT12" i="2" s="1"/>
  <c r="DS17" i="2"/>
  <c r="DS12" i="2" s="1"/>
  <c r="DR17" i="2"/>
  <c r="DR12" i="2" s="1"/>
  <c r="DQ17" i="2"/>
  <c r="DP17" i="2"/>
  <c r="DO17" i="2"/>
  <c r="DM17" i="2"/>
  <c r="DL17" i="2"/>
  <c r="DK17" i="2"/>
  <c r="DJ17" i="2"/>
  <c r="DI17" i="2"/>
  <c r="DH17" i="2"/>
  <c r="DG17" i="2"/>
  <c r="DF17" i="2"/>
  <c r="DE17" i="2"/>
  <c r="DD17" i="2"/>
  <c r="DC17" i="2"/>
  <c r="DB17" i="2"/>
  <c r="CZ17" i="2"/>
  <c r="CY17" i="2"/>
  <c r="CX17" i="2"/>
  <c r="CW17" i="2"/>
  <c r="CV17" i="2"/>
  <c r="CU17" i="2"/>
  <c r="CT17" i="2"/>
  <c r="CS17" i="2"/>
  <c r="CR17" i="2"/>
  <c r="CQ17" i="2"/>
  <c r="CP17" i="2"/>
  <c r="CO17" i="2"/>
  <c r="ED38" i="3" l="1"/>
  <c r="EC38" i="3"/>
  <c r="EB38" i="3"/>
  <c r="DZ38" i="3"/>
  <c r="DY38" i="3"/>
  <c r="DX38" i="3"/>
  <c r="DW38" i="3"/>
  <c r="DV38" i="3"/>
  <c r="DU38" i="3"/>
  <c r="DT38" i="3"/>
  <c r="DS38" i="3"/>
  <c r="P43" i="3"/>
  <c r="EC35" i="3" l="1"/>
  <c r="EB35" i="3"/>
  <c r="DZ35" i="3"/>
  <c r="DY35" i="3"/>
  <c r="DX35" i="3"/>
  <c r="DW35" i="3"/>
  <c r="DV35" i="3"/>
  <c r="DU35" i="3"/>
  <c r="DT35" i="3"/>
  <c r="DS35" i="3"/>
  <c r="DZ33" i="3"/>
  <c r="DZ32" i="3"/>
  <c r="DZ31" i="3"/>
  <c r="DW33" i="3"/>
  <c r="DW32" i="3"/>
  <c r="DW31" i="3"/>
  <c r="DT33" i="3"/>
  <c r="DT32" i="3"/>
  <c r="DT31" i="3"/>
  <c r="DQ33" i="3"/>
  <c r="DQ32" i="3"/>
  <c r="DQ31" i="3"/>
  <c r="EC30" i="3"/>
  <c r="EC29" i="3"/>
  <c r="EB30" i="3"/>
  <c r="EB29" i="3"/>
  <c r="DZ30" i="3"/>
  <c r="DY30" i="3"/>
  <c r="DX30" i="3"/>
  <c r="DW30" i="3"/>
  <c r="DV30" i="3"/>
  <c r="DU30" i="3"/>
  <c r="DT30" i="3"/>
  <c r="DS30" i="3"/>
  <c r="DR30" i="3"/>
  <c r="DZ29" i="3"/>
  <c r="DY29" i="3"/>
  <c r="DX29" i="3"/>
  <c r="DW29" i="3"/>
  <c r="DV29" i="3"/>
  <c r="DU29" i="3"/>
  <c r="DT29" i="3"/>
  <c r="DS29" i="3"/>
  <c r="DR29" i="3"/>
  <c r="DZ24" i="3"/>
  <c r="DW24" i="3"/>
  <c r="DT24" i="3"/>
  <c r="DQ24" i="3"/>
  <c r="DM24" i="3"/>
  <c r="DJ24" i="3"/>
  <c r="DG24" i="3"/>
  <c r="DD24" i="3"/>
  <c r="CZ24" i="3"/>
  <c r="CW24" i="3"/>
  <c r="CT24" i="3"/>
  <c r="CQ24" i="3"/>
  <c r="CM24" i="3"/>
  <c r="CJ24" i="3"/>
  <c r="CG24" i="3"/>
  <c r="CD24" i="3"/>
  <c r="BZ24" i="3"/>
  <c r="BW24" i="3"/>
  <c r="BT24" i="3"/>
  <c r="BQ24" i="3"/>
  <c r="BM24" i="3"/>
  <c r="BJ24" i="3"/>
  <c r="BG24" i="3"/>
  <c r="BD24" i="3"/>
  <c r="DZ23" i="3"/>
  <c r="DW23" i="3"/>
  <c r="DT23" i="3"/>
  <c r="DQ23" i="3"/>
  <c r="DM23" i="3"/>
  <c r="DJ23" i="3"/>
  <c r="DG23" i="3"/>
  <c r="DD23" i="3"/>
  <c r="CZ23" i="3"/>
  <c r="CW23" i="3"/>
  <c r="CT23" i="3"/>
  <c r="CQ23" i="3"/>
  <c r="CM23" i="3"/>
  <c r="CJ23" i="3"/>
  <c r="CG23" i="3"/>
  <c r="CD23" i="3"/>
  <c r="BZ23" i="3"/>
  <c r="BW23" i="3"/>
  <c r="BT23" i="3"/>
  <c r="BQ23" i="3"/>
  <c r="BM23" i="3"/>
  <c r="BJ23" i="3"/>
  <c r="BG23" i="3"/>
  <c r="BD23" i="3"/>
  <c r="DZ22" i="3"/>
  <c r="DW22" i="3"/>
  <c r="DT22" i="3"/>
  <c r="DQ22" i="3"/>
  <c r="DM22" i="3"/>
  <c r="DJ22" i="3"/>
  <c r="DG22" i="3"/>
  <c r="DD22" i="3"/>
  <c r="CZ22" i="3"/>
  <c r="CW22" i="3"/>
  <c r="CT22" i="3"/>
  <c r="CQ22" i="3"/>
  <c r="CM22" i="3"/>
  <c r="CJ22" i="3"/>
  <c r="CG22" i="3"/>
  <c r="CD22" i="3"/>
  <c r="BZ22" i="3"/>
  <c r="BW22" i="3"/>
  <c r="BT22" i="3"/>
  <c r="BQ22" i="3"/>
  <c r="BM22" i="3"/>
  <c r="BJ22" i="3"/>
  <c r="BG22" i="3"/>
  <c r="BD22" i="3"/>
  <c r="DZ21" i="3"/>
  <c r="DW21" i="3"/>
  <c r="DT21" i="3"/>
  <c r="DQ21" i="3"/>
  <c r="DM21" i="3"/>
  <c r="DJ21" i="3"/>
  <c r="DG21" i="3"/>
  <c r="DD21" i="3"/>
  <c r="CZ21" i="3"/>
  <c r="CW21" i="3"/>
  <c r="CT21" i="3"/>
  <c r="CQ21" i="3"/>
  <c r="CM21" i="3"/>
  <c r="CJ21" i="3"/>
  <c r="CG21" i="3"/>
  <c r="CD21" i="3"/>
  <c r="BZ21" i="3"/>
  <c r="BW21" i="3"/>
  <c r="BT21" i="3"/>
  <c r="BQ21" i="3"/>
  <c r="BM21" i="3"/>
  <c r="BJ21" i="3"/>
  <c r="BG21" i="3"/>
  <c r="BD21" i="3"/>
  <c r="CQ20" i="3"/>
  <c r="CM20" i="3"/>
  <c r="CJ20" i="3"/>
  <c r="CG20" i="3"/>
  <c r="CD20" i="3"/>
  <c r="BZ20" i="3"/>
  <c r="BW20" i="3"/>
  <c r="BT20" i="3"/>
  <c r="BQ20" i="3"/>
  <c r="BM20" i="3"/>
  <c r="BJ20" i="3"/>
  <c r="BG20" i="3"/>
  <c r="BD20" i="3"/>
  <c r="DZ19" i="3"/>
  <c r="DW19" i="3"/>
  <c r="DT19" i="3"/>
  <c r="EL12" i="1"/>
  <c r="EI12" i="1"/>
  <c r="EF12" i="1"/>
  <c r="EC12" i="1"/>
  <c r="DQ19" i="3" s="1"/>
  <c r="DM19" i="3"/>
  <c r="DJ19" i="3"/>
  <c r="DG19" i="3"/>
  <c r="DD19" i="3"/>
  <c r="CZ19" i="3"/>
  <c r="CW19" i="3"/>
  <c r="CT19" i="3"/>
  <c r="CQ19" i="3"/>
  <c r="CM19" i="3"/>
  <c r="CJ19" i="3"/>
  <c r="CG19" i="3"/>
  <c r="CD19" i="3"/>
  <c r="BZ19" i="3"/>
  <c r="BW19" i="3"/>
  <c r="BT19" i="3"/>
  <c r="BQ19" i="3"/>
  <c r="BM19" i="3"/>
  <c r="BJ19" i="3"/>
  <c r="BG19" i="3"/>
  <c r="BD19" i="3"/>
  <c r="EC10" i="3"/>
  <c r="EB10" i="3"/>
  <c r="DZ10" i="3"/>
  <c r="DY10" i="3"/>
  <c r="DX10" i="3"/>
  <c r="DW10" i="3"/>
  <c r="DV10" i="3"/>
  <c r="DU10" i="3"/>
  <c r="DT10" i="3"/>
  <c r="DS10" i="3"/>
  <c r="DR10" i="3"/>
  <c r="ED20" i="3" l="1"/>
  <c r="DQ32" i="8"/>
  <c r="DQ31" i="8"/>
  <c r="DQ30" i="8"/>
  <c r="DQ29" i="8"/>
  <c r="DQ28" i="8"/>
  <c r="DQ27" i="8"/>
  <c r="DQ26" i="8"/>
  <c r="DQ25" i="8"/>
  <c r="DQ24" i="8"/>
  <c r="DQ23" i="8"/>
  <c r="DQ22" i="8"/>
  <c r="DQ47" i="8" l="1"/>
  <c r="EK23" i="1" l="1"/>
  <c r="EL23" i="1"/>
  <c r="EK24" i="1"/>
  <c r="EL24" i="1"/>
  <c r="EK25" i="1"/>
  <c r="EL25" i="1"/>
  <c r="ED23" i="1"/>
  <c r="EE23" i="1"/>
  <c r="EF23" i="1"/>
  <c r="EG23" i="1"/>
  <c r="EH23" i="1"/>
  <c r="EI23" i="1"/>
  <c r="EJ23" i="1"/>
  <c r="ED24" i="1"/>
  <c r="EE24" i="1"/>
  <c r="EF24" i="1"/>
  <c r="EG24" i="1"/>
  <c r="EH24" i="1"/>
  <c r="EI24" i="1"/>
  <c r="EJ24" i="1"/>
  <c r="ED25" i="1"/>
  <c r="EE25" i="1"/>
  <c r="EF25" i="1"/>
  <c r="EG25" i="1"/>
  <c r="EH25" i="1"/>
  <c r="EI25" i="1"/>
  <c r="EJ25" i="1"/>
  <c r="ED34" i="1"/>
  <c r="EE34" i="1"/>
  <c r="EF34" i="1"/>
  <c r="EG34" i="1"/>
  <c r="EH34" i="1"/>
  <c r="EI34" i="1"/>
  <c r="EJ34" i="1"/>
  <c r="EK34" i="1"/>
  <c r="EL34" i="1"/>
  <c r="ED35" i="1"/>
  <c r="EE35" i="1"/>
  <c r="EF35" i="1"/>
  <c r="EG35" i="1"/>
  <c r="EH35" i="1"/>
  <c r="EI35" i="1"/>
  <c r="EJ35" i="1"/>
  <c r="EK35" i="1"/>
  <c r="EL35" i="1"/>
  <c r="ED36" i="1"/>
  <c r="EE36" i="1"/>
  <c r="EF36" i="1"/>
  <c r="EG36" i="1"/>
  <c r="EH36" i="1"/>
  <c r="EI36" i="1"/>
  <c r="EJ36" i="1"/>
  <c r="EK36" i="1"/>
  <c r="EL36" i="1"/>
  <c r="EO39" i="1"/>
  <c r="EO38" i="1"/>
  <c r="EN38" i="1"/>
  <c r="EC23" i="1" l="1"/>
  <c r="EC24" i="1"/>
  <c r="EC25" i="1"/>
  <c r="EA23" i="1"/>
  <c r="EA24" i="1"/>
  <c r="EA25" i="1"/>
  <c r="EE38" i="1"/>
  <c r="EF38" i="1"/>
  <c r="EG38" i="1"/>
  <c r="EH38" i="1"/>
  <c r="EI38" i="1"/>
  <c r="EJ38" i="1"/>
  <c r="EK38" i="1"/>
  <c r="EL38" i="1"/>
  <c r="EM38" i="1"/>
  <c r="EE39" i="1"/>
  <c r="EF39" i="1"/>
  <c r="EG39" i="1"/>
  <c r="EH39" i="1"/>
  <c r="EI39" i="1"/>
  <c r="EJ39" i="1"/>
  <c r="EK39" i="1"/>
  <c r="EL39" i="1"/>
  <c r="EM39" i="1"/>
  <c r="EN39" i="1"/>
  <c r="EJ47" i="8"/>
  <c r="EM32" i="8"/>
  <c r="EM30" i="8"/>
  <c r="EM29" i="8"/>
  <c r="EM28" i="8"/>
  <c r="EM27" i="8"/>
  <c r="EM26" i="8"/>
  <c r="EM25" i="8"/>
  <c r="EM24" i="8"/>
  <c r="EM23" i="8"/>
  <c r="EM22" i="8"/>
  <c r="EM19" i="8"/>
  <c r="EL19" i="8"/>
  <c r="EK19" i="8"/>
  <c r="EJ19" i="8"/>
  <c r="EI19" i="8"/>
  <c r="EH19" i="8"/>
  <c r="EG19" i="8"/>
  <c r="EF19" i="8"/>
  <c r="EE19" i="8"/>
  <c r="ED19" i="8"/>
  <c r="EC19" i="8"/>
  <c r="EB19" i="8"/>
  <c r="EM18" i="8"/>
  <c r="EL18" i="8"/>
  <c r="EK18" i="8"/>
  <c r="EJ18" i="8"/>
  <c r="EI18" i="8"/>
  <c r="EH18" i="8"/>
  <c r="EG18" i="8"/>
  <c r="EF18" i="8"/>
  <c r="EE18" i="8"/>
  <c r="ED18" i="8"/>
  <c r="EC18" i="8"/>
  <c r="EB18" i="8"/>
  <c r="EM17" i="8"/>
  <c r="EL17" i="8"/>
  <c r="EK17" i="8"/>
  <c r="EJ17" i="8"/>
  <c r="EI17" i="8"/>
  <c r="EH17" i="8"/>
  <c r="EF17" i="8"/>
  <c r="EE17" i="8"/>
  <c r="ED17" i="8"/>
  <c r="EC17" i="8"/>
  <c r="EM16" i="8"/>
  <c r="EL16" i="8"/>
  <c r="EK16" i="8"/>
  <c r="EJ16" i="8"/>
  <c r="EI16" i="8"/>
  <c r="EH16" i="8"/>
  <c r="EG16" i="8"/>
  <c r="EF16" i="8"/>
  <c r="EE16" i="8"/>
  <c r="ED16" i="8"/>
  <c r="EC16" i="8"/>
  <c r="EB16" i="8"/>
  <c r="EM15" i="8"/>
  <c r="EL15" i="8"/>
  <c r="EK15" i="8"/>
  <c r="EJ15" i="8"/>
  <c r="EI15" i="8"/>
  <c r="EH15" i="8"/>
  <c r="EG15" i="8"/>
  <c r="EF15" i="8"/>
  <c r="EE15" i="8"/>
  <c r="ED15" i="8"/>
  <c r="EC15" i="8"/>
  <c r="EB15" i="8"/>
  <c r="EM14" i="8"/>
  <c r="EL14" i="8"/>
  <c r="EK14" i="8"/>
  <c r="EJ14" i="8"/>
  <c r="EI14" i="8"/>
  <c r="EH14" i="8"/>
  <c r="EG14" i="8"/>
  <c r="EF14" i="8"/>
  <c r="EE14" i="8"/>
  <c r="ED14" i="8"/>
  <c r="EC14" i="8"/>
  <c r="EB14" i="8"/>
  <c r="EM13" i="8"/>
  <c r="EL13" i="8"/>
  <c r="EK13" i="8"/>
  <c r="EJ13" i="8"/>
  <c r="EI13" i="8"/>
  <c r="EH13" i="8"/>
  <c r="EG13" i="8"/>
  <c r="EF13" i="8"/>
  <c r="EE13" i="8"/>
  <c r="ED13" i="8"/>
  <c r="EC13" i="8"/>
  <c r="EB13" i="8"/>
  <c r="EM12" i="8"/>
  <c r="EL12" i="8"/>
  <c r="EK12" i="8"/>
  <c r="EJ12" i="8"/>
  <c r="EI12" i="8"/>
  <c r="EH12" i="8"/>
  <c r="EG12" i="8"/>
  <c r="EF12" i="8"/>
  <c r="EE12" i="8"/>
  <c r="ED12" i="8"/>
  <c r="EC12" i="8"/>
  <c r="EB12" i="8"/>
  <c r="EM11" i="8"/>
  <c r="EL11" i="8"/>
  <c r="EK11" i="8"/>
  <c r="EJ11" i="8"/>
  <c r="EI11" i="8"/>
  <c r="EH11" i="8"/>
  <c r="EG11" i="8"/>
  <c r="EF11" i="8"/>
  <c r="EE11" i="8"/>
  <c r="ED11" i="8"/>
  <c r="EC11" i="8"/>
  <c r="EB11" i="8"/>
  <c r="EP36" i="1"/>
  <c r="EO36" i="1"/>
  <c r="EN36" i="1"/>
  <c r="EP35" i="1"/>
  <c r="EO35" i="1"/>
  <c r="EN35" i="1"/>
  <c r="EP34" i="1"/>
  <c r="EO34" i="1"/>
  <c r="EN34" i="1"/>
  <c r="EP25" i="1"/>
  <c r="EO25" i="1"/>
  <c r="EN25" i="1"/>
  <c r="EP24" i="1"/>
  <c r="EO24" i="1"/>
  <c r="EN24" i="1"/>
  <c r="EP23" i="1"/>
  <c r="EO23" i="1"/>
  <c r="EN23" i="1"/>
  <c r="DO19" i="8"/>
  <c r="DH45" i="8"/>
  <c r="DI45" i="8"/>
  <c r="DJ45" i="8"/>
  <c r="DK45" i="8"/>
  <c r="DL45" i="8"/>
  <c r="DM45" i="8"/>
  <c r="DG45" i="8"/>
  <c r="DF45" i="8"/>
  <c r="DE45" i="8"/>
  <c r="DC45" i="8"/>
  <c r="DD45" i="8"/>
  <c r="DB45" i="8"/>
  <c r="EG23" i="8" l="1"/>
  <c r="EG26" i="8"/>
  <c r="EG31" i="8"/>
  <c r="EG22" i="8"/>
  <c r="EG27" i="8"/>
  <c r="EM31" i="8"/>
  <c r="EJ30" i="8"/>
  <c r="EJ26" i="8"/>
  <c r="EJ22" i="8"/>
  <c r="EJ27" i="8"/>
  <c r="EJ23" i="8"/>
  <c r="EJ32" i="8"/>
  <c r="EJ28" i="8"/>
  <c r="EJ29" i="8"/>
  <c r="EJ25" i="8"/>
  <c r="EJ24" i="8"/>
  <c r="EG30" i="8"/>
  <c r="EJ31" i="8"/>
  <c r="EG24" i="8"/>
  <c r="EG28" i="8"/>
  <c r="EG32" i="8"/>
  <c r="EG25" i="8"/>
  <c r="EG29" i="8"/>
  <c r="DT47" i="8"/>
  <c r="DW47" i="8" s="1"/>
  <c r="DZ47" i="8" s="1"/>
  <c r="DZ32" i="8" s="1"/>
  <c r="DZ19" i="8"/>
  <c r="DY19" i="8"/>
  <c r="DX19" i="8"/>
  <c r="DW19" i="8"/>
  <c r="DV19" i="8"/>
  <c r="DU19" i="8"/>
  <c r="DT19" i="8"/>
  <c r="DS19" i="8"/>
  <c r="DR19" i="8"/>
  <c r="DQ19" i="8"/>
  <c r="DP19" i="8"/>
  <c r="DZ18" i="8"/>
  <c r="DY18" i="8"/>
  <c r="DX18" i="8"/>
  <c r="DW18" i="8"/>
  <c r="DV18" i="8"/>
  <c r="DU18" i="8"/>
  <c r="DT18" i="8"/>
  <c r="DS18" i="8"/>
  <c r="DR18" i="8"/>
  <c r="DQ18" i="8"/>
  <c r="DP18" i="8"/>
  <c r="DO18" i="8"/>
  <c r="DZ17" i="8"/>
  <c r="DY17" i="8"/>
  <c r="DX17" i="8"/>
  <c r="DW17" i="8"/>
  <c r="DV17" i="8"/>
  <c r="DU17" i="8"/>
  <c r="DT17" i="8"/>
  <c r="DS17" i="8"/>
  <c r="DR17" i="8"/>
  <c r="DQ17" i="8"/>
  <c r="DP17" i="8"/>
  <c r="DO17" i="8"/>
  <c r="DZ16" i="8"/>
  <c r="DY16" i="8"/>
  <c r="DX16" i="8"/>
  <c r="DW16" i="8"/>
  <c r="DV16" i="8"/>
  <c r="DU16" i="8"/>
  <c r="DT16" i="8"/>
  <c r="DS16" i="8"/>
  <c r="DR16" i="8"/>
  <c r="DQ16" i="8"/>
  <c r="DP16" i="8"/>
  <c r="DO16" i="8"/>
  <c r="DZ15" i="8"/>
  <c r="DY15" i="8"/>
  <c r="DX15" i="8"/>
  <c r="DW15" i="8"/>
  <c r="DV15" i="8"/>
  <c r="DU15" i="8"/>
  <c r="DT15" i="8"/>
  <c r="DS15" i="8"/>
  <c r="DR15" i="8"/>
  <c r="DQ15" i="8"/>
  <c r="DP15" i="8"/>
  <c r="DO15" i="8"/>
  <c r="DZ14" i="8"/>
  <c r="DY14" i="8"/>
  <c r="DX14" i="8"/>
  <c r="DW14" i="8"/>
  <c r="DV14" i="8"/>
  <c r="DU14" i="8"/>
  <c r="DT14" i="8"/>
  <c r="DS14" i="8"/>
  <c r="DR14" i="8"/>
  <c r="DQ14" i="8"/>
  <c r="DP14" i="8"/>
  <c r="DO14" i="8"/>
  <c r="DZ13" i="8"/>
  <c r="DY13" i="8"/>
  <c r="DX13" i="8"/>
  <c r="DW13" i="8"/>
  <c r="DV13" i="8"/>
  <c r="DU13" i="8"/>
  <c r="DT13" i="8"/>
  <c r="DS13" i="8"/>
  <c r="DR13" i="8"/>
  <c r="DQ13" i="8"/>
  <c r="DP13" i="8"/>
  <c r="DO13" i="8"/>
  <c r="DZ12" i="8"/>
  <c r="DY12" i="8"/>
  <c r="DX12" i="8"/>
  <c r="DW12" i="8"/>
  <c r="DV12" i="8"/>
  <c r="DU12" i="8"/>
  <c r="DT12" i="8"/>
  <c r="DS12" i="8"/>
  <c r="DR12" i="8"/>
  <c r="DQ12" i="8"/>
  <c r="DP12" i="8"/>
  <c r="DO12" i="8"/>
  <c r="DZ11" i="8"/>
  <c r="DY11" i="8"/>
  <c r="DX11" i="8"/>
  <c r="DW11" i="8"/>
  <c r="DV11" i="8"/>
  <c r="DU11" i="8"/>
  <c r="DT11" i="8"/>
  <c r="DS11" i="8"/>
  <c r="DR11" i="8"/>
  <c r="DQ11" i="8"/>
  <c r="DP11" i="8"/>
  <c r="DO11" i="8"/>
  <c r="DZ29" i="8" l="1"/>
  <c r="DZ25" i="8"/>
  <c r="DZ22" i="8"/>
  <c r="DZ26" i="8"/>
  <c r="DZ30" i="8"/>
  <c r="DZ23" i="8"/>
  <c r="DZ27" i="8"/>
  <c r="DZ31" i="8"/>
  <c r="DZ24" i="8"/>
  <c r="DZ28" i="8"/>
  <c r="DT23" i="8"/>
  <c r="DT25" i="8"/>
  <c r="DT27" i="8"/>
  <c r="DT29" i="8"/>
  <c r="DT31" i="8"/>
  <c r="DT22" i="8"/>
  <c r="DT24" i="8"/>
  <c r="DT26" i="8"/>
  <c r="DT28" i="8"/>
  <c r="DT30" i="8"/>
  <c r="DT32" i="8"/>
  <c r="DW32" i="8"/>
  <c r="DW31" i="8"/>
  <c r="DW30" i="8"/>
  <c r="DW29" i="8"/>
  <c r="DW28" i="8"/>
  <c r="DW27" i="8"/>
  <c r="DW26" i="8"/>
  <c r="DW25" i="8"/>
  <c r="DW24" i="8"/>
  <c r="DW23" i="8"/>
  <c r="DW22" i="8"/>
  <c r="ED39" i="1"/>
  <c r="ED38" i="1"/>
  <c r="EC39" i="1"/>
  <c r="EC38" i="1"/>
  <c r="EB39" i="1"/>
  <c r="EB38" i="1"/>
  <c r="EA39" i="1"/>
  <c r="EA38" i="1"/>
  <c r="EC36" i="1"/>
  <c r="EC35" i="1"/>
  <c r="EC34" i="1"/>
  <c r="EB36" i="1"/>
  <c r="EB35" i="1"/>
  <c r="EB34" i="1"/>
  <c r="EA36" i="1"/>
  <c r="EA35" i="1"/>
  <c r="EA34" i="1"/>
  <c r="DY36" i="1"/>
  <c r="DY35" i="1"/>
  <c r="DY34" i="1"/>
  <c r="EB25" i="1"/>
  <c r="EB24" i="1"/>
  <c r="EB23" i="1"/>
  <c r="DY25" i="1"/>
  <c r="DY24" i="1"/>
  <c r="DY23" i="1"/>
  <c r="DY12" i="1"/>
  <c r="DR34" i="2" l="1"/>
  <c r="DQ34" i="2"/>
  <c r="DP34" i="2"/>
  <c r="DO34" i="2"/>
  <c r="DM34" i="2"/>
  <c r="DR31" i="2"/>
  <c r="DQ31" i="2"/>
  <c r="DP31" i="2"/>
  <c r="DO31" i="2"/>
  <c r="DM31" i="2"/>
  <c r="DO11" i="2" l="1"/>
  <c r="DP11" i="2"/>
  <c r="DQ11" i="2"/>
  <c r="DM11" i="2"/>
  <c r="DQ10" i="2"/>
  <c r="DP10" i="2"/>
  <c r="DO10" i="2"/>
  <c r="DM10" i="2"/>
  <c r="DQ9" i="2"/>
  <c r="DP9" i="2"/>
  <c r="DO9" i="2"/>
  <c r="DM9" i="2"/>
  <c r="DQ21" i="2"/>
  <c r="DP21" i="2"/>
  <c r="DO21" i="2"/>
  <c r="DQ12" i="2" l="1"/>
  <c r="DP12" i="2"/>
  <c r="DO12" i="2"/>
  <c r="DM12" i="2"/>
  <c r="DM21" i="2" l="1"/>
  <c r="DM13" i="2"/>
  <c r="DQ38" i="3" l="1"/>
  <c r="DP38" i="3"/>
  <c r="DR35" i="3"/>
  <c r="DQ35" i="3"/>
  <c r="DP35" i="3"/>
  <c r="DO35" i="3"/>
  <c r="DM33" i="3"/>
  <c r="DM32" i="3"/>
  <c r="DM31" i="3"/>
  <c r="DQ30" i="3"/>
  <c r="DP30" i="3"/>
  <c r="DQ29" i="3"/>
  <c r="DP29" i="3"/>
  <c r="DO30" i="3"/>
  <c r="DO29" i="3"/>
  <c r="DM30" i="3"/>
  <c r="DM29" i="3"/>
  <c r="DQ10" i="3"/>
  <c r="DP10" i="3"/>
  <c r="DO10" i="3"/>
  <c r="DM10" i="3"/>
  <c r="DM19" i="8"/>
  <c r="DL19" i="8"/>
  <c r="DK19" i="8"/>
  <c r="DJ19" i="8"/>
  <c r="DI19" i="8"/>
  <c r="DH19" i="8"/>
  <c r="DM18" i="8"/>
  <c r="DL18" i="8"/>
  <c r="DK18" i="8"/>
  <c r="DJ18" i="8"/>
  <c r="DI18" i="8"/>
  <c r="DH18" i="8"/>
  <c r="DM17" i="8"/>
  <c r="DL17" i="8"/>
  <c r="DK17" i="8"/>
  <c r="DJ17" i="8"/>
  <c r="DI17" i="8"/>
  <c r="DH17" i="8"/>
  <c r="DM16" i="8"/>
  <c r="DL16" i="8"/>
  <c r="DK16" i="8"/>
  <c r="DJ16" i="8"/>
  <c r="DI16" i="8"/>
  <c r="DH16" i="8"/>
  <c r="DM15" i="8"/>
  <c r="DL15" i="8"/>
  <c r="DK15" i="8"/>
  <c r="DJ15" i="8"/>
  <c r="DI15" i="8"/>
  <c r="DH15" i="8"/>
  <c r="DM14" i="8"/>
  <c r="DL14" i="8"/>
  <c r="DK14" i="8"/>
  <c r="DJ14" i="8"/>
  <c r="DI14" i="8"/>
  <c r="DH14" i="8"/>
  <c r="DM13" i="8"/>
  <c r="DL13" i="8"/>
  <c r="DK13" i="8"/>
  <c r="DJ13" i="8"/>
  <c r="DI13" i="8"/>
  <c r="DH13" i="8"/>
  <c r="DM12" i="8"/>
  <c r="DL12" i="8"/>
  <c r="DK12" i="8"/>
  <c r="DJ12" i="8"/>
  <c r="DI12" i="8"/>
  <c r="DH12" i="8"/>
  <c r="DM11" i="8"/>
  <c r="DL11" i="8"/>
  <c r="DK11" i="8"/>
  <c r="DJ11" i="8"/>
  <c r="DI11" i="8"/>
  <c r="DH11" i="8"/>
  <c r="DQ20" i="3" l="1"/>
  <c r="DT20" i="3"/>
  <c r="DZ20" i="3"/>
  <c r="DW20" i="3"/>
  <c r="EE28" i="3"/>
  <c r="EH28" i="3"/>
  <c r="ED28" i="3"/>
  <c r="EF28" i="3"/>
  <c r="EB28" i="3"/>
  <c r="EG28" i="3"/>
  <c r="EC28" i="3"/>
  <c r="DR38" i="3"/>
  <c r="DO38" i="3"/>
  <c r="DV23" i="1"/>
  <c r="DW23" i="1"/>
  <c r="DX23" i="1"/>
  <c r="DV24" i="1"/>
  <c r="DW24" i="1"/>
  <c r="DX24" i="1"/>
  <c r="DV25" i="1"/>
  <c r="DW25" i="1"/>
  <c r="DX25" i="1"/>
  <c r="DV39" i="1" l="1"/>
  <c r="DW39" i="1"/>
  <c r="DX39" i="1"/>
  <c r="DY39" i="1"/>
  <c r="DV38" i="1"/>
  <c r="DW38" i="1"/>
  <c r="DX38" i="1"/>
  <c r="DY38" i="1"/>
  <c r="DV36" i="1"/>
  <c r="DW36" i="1"/>
  <c r="DX36" i="1"/>
  <c r="DV35" i="1"/>
  <c r="DW35" i="1"/>
  <c r="DX35" i="1"/>
  <c r="DV34" i="1"/>
  <c r="DW34" i="1"/>
  <c r="DX34" i="1"/>
  <c r="DV12" i="1" l="1"/>
  <c r="DL34" i="2" l="1"/>
  <c r="DK34" i="2"/>
  <c r="DJ34" i="2"/>
  <c r="DL31" i="2"/>
  <c r="DK31" i="2"/>
  <c r="DJ31" i="2"/>
  <c r="DL11" i="2"/>
  <c r="DK11" i="2"/>
  <c r="DJ11" i="2"/>
  <c r="DL10" i="2"/>
  <c r="DK10" i="2"/>
  <c r="DJ10" i="2"/>
  <c r="DL9" i="2"/>
  <c r="DK9" i="2"/>
  <c r="DJ9" i="2"/>
  <c r="DL13" i="2"/>
  <c r="DK13" i="2"/>
  <c r="DJ13" i="2"/>
  <c r="DL21" i="2" l="1"/>
  <c r="DK21" i="2"/>
  <c r="DJ21" i="2"/>
  <c r="DL12" i="2" l="1"/>
  <c r="DK12" i="2"/>
  <c r="DJ12" i="2"/>
  <c r="DL30" i="3"/>
  <c r="DL29" i="3"/>
  <c r="DM35" i="3"/>
  <c r="DL35" i="3"/>
  <c r="DK35" i="3"/>
  <c r="DJ33" i="3"/>
  <c r="DJ32" i="3"/>
  <c r="DJ31" i="3"/>
  <c r="DG33" i="3"/>
  <c r="DG32" i="3"/>
  <c r="DG31" i="3"/>
  <c r="DD33" i="3"/>
  <c r="DD32" i="3"/>
  <c r="DD31" i="3"/>
  <c r="CW32" i="3"/>
  <c r="DK30" i="3"/>
  <c r="DJ30" i="3"/>
  <c r="DK29" i="3"/>
  <c r="DJ29" i="3"/>
  <c r="DL10" i="3"/>
  <c r="DK10" i="3"/>
  <c r="DJ10" i="3"/>
  <c r="DD47" i="8"/>
  <c r="DD29" i="8" s="1"/>
  <c r="DS12" i="1"/>
  <c r="DG19" i="8"/>
  <c r="DF19" i="8"/>
  <c r="DE19" i="8"/>
  <c r="DD19" i="8"/>
  <c r="DC19" i="8"/>
  <c r="DB19" i="8"/>
  <c r="DG18" i="8"/>
  <c r="DF18" i="8"/>
  <c r="DE18" i="8"/>
  <c r="DD18" i="8"/>
  <c r="DC18" i="8"/>
  <c r="DB18" i="8"/>
  <c r="DG17" i="8"/>
  <c r="DF17" i="8"/>
  <c r="DE17" i="8"/>
  <c r="DD17" i="8"/>
  <c r="DC17" i="8"/>
  <c r="DB17" i="8"/>
  <c r="DG16" i="8"/>
  <c r="DF16" i="8"/>
  <c r="DE16" i="8"/>
  <c r="DD16" i="8"/>
  <c r="DC16" i="8"/>
  <c r="DB16" i="8"/>
  <c r="DG15" i="8"/>
  <c r="DF15" i="8"/>
  <c r="DE15" i="8"/>
  <c r="DD15" i="8"/>
  <c r="DC15" i="8"/>
  <c r="DB15" i="8"/>
  <c r="DG14" i="8"/>
  <c r="DF14" i="8"/>
  <c r="DE14" i="8"/>
  <c r="DD14" i="8"/>
  <c r="DC14" i="8"/>
  <c r="DB14" i="8"/>
  <c r="DG13" i="8"/>
  <c r="DF13" i="8"/>
  <c r="DE13" i="8"/>
  <c r="DD13" i="8"/>
  <c r="DC13" i="8"/>
  <c r="DB13" i="8"/>
  <c r="DG12" i="8"/>
  <c r="DF12" i="8"/>
  <c r="DE12" i="8"/>
  <c r="DD12" i="8"/>
  <c r="DC12" i="8"/>
  <c r="DB12" i="8"/>
  <c r="DG11" i="8"/>
  <c r="DF11" i="8"/>
  <c r="DE11" i="8"/>
  <c r="DD11" i="8"/>
  <c r="DC11" i="8"/>
  <c r="DB11" i="8"/>
  <c r="DD32" i="8" l="1"/>
  <c r="DD28" i="8"/>
  <c r="DD26" i="8"/>
  <c r="DD24" i="8"/>
  <c r="DD23" i="8"/>
  <c r="DD22" i="8"/>
  <c r="DD30" i="8"/>
  <c r="DD27" i="8"/>
  <c r="DD25" i="8"/>
  <c r="DD31" i="8"/>
  <c r="DG47" i="8"/>
  <c r="DJ47" i="8" s="1"/>
  <c r="DM47" i="8" s="1"/>
  <c r="DM31" i="8" l="1"/>
  <c r="DM28" i="8"/>
  <c r="DM26" i="8"/>
  <c r="DM24" i="8"/>
  <c r="DM22" i="8"/>
  <c r="DM29" i="8"/>
  <c r="DM32" i="8"/>
  <c r="DM27" i="8"/>
  <c r="DM25" i="8"/>
  <c r="DM23" i="8"/>
  <c r="DM30" i="8"/>
  <c r="DJ28" i="8"/>
  <c r="DJ24" i="8"/>
  <c r="DJ22" i="8"/>
  <c r="DJ30" i="8"/>
  <c r="DJ27" i="8"/>
  <c r="DJ23" i="8"/>
  <c r="DJ25" i="8"/>
  <c r="DJ32" i="8"/>
  <c r="DJ29" i="8"/>
  <c r="DJ26" i="8"/>
  <c r="DJ31" i="8"/>
  <c r="DG32" i="8"/>
  <c r="DG31" i="8"/>
  <c r="DG30" i="8"/>
  <c r="DG29" i="8"/>
  <c r="DG28" i="8"/>
  <c r="DG27" i="8"/>
  <c r="DG26" i="8"/>
  <c r="DG25" i="8"/>
  <c r="DG24" i="8"/>
  <c r="DG23" i="8"/>
  <c r="DG22" i="8"/>
  <c r="DQ23" i="1"/>
  <c r="DR23" i="1"/>
  <c r="DS23" i="1"/>
  <c r="DT23" i="1"/>
  <c r="DU23" i="1"/>
  <c r="DQ24" i="1"/>
  <c r="DR24" i="1"/>
  <c r="DS24" i="1"/>
  <c r="DT24" i="1"/>
  <c r="DU24" i="1"/>
  <c r="DQ25" i="1"/>
  <c r="DR25" i="1"/>
  <c r="DS25" i="1"/>
  <c r="DT25" i="1"/>
  <c r="DU25" i="1"/>
  <c r="DQ34" i="1"/>
  <c r="DR34" i="1"/>
  <c r="DS34" i="1"/>
  <c r="DT34" i="1"/>
  <c r="DU34" i="1"/>
  <c r="DQ35" i="1"/>
  <c r="DR35" i="1"/>
  <c r="DS35" i="1"/>
  <c r="DT35" i="1"/>
  <c r="DU35" i="1"/>
  <c r="DQ36" i="1"/>
  <c r="DR36" i="1"/>
  <c r="DS36" i="1"/>
  <c r="DT36" i="1"/>
  <c r="DU36" i="1"/>
  <c r="DP12" i="1"/>
  <c r="DI34" i="2" l="1"/>
  <c r="DH34" i="2"/>
  <c r="DG34" i="2"/>
  <c r="DF34" i="2"/>
  <c r="DE34" i="2"/>
  <c r="DI31" i="2"/>
  <c r="DH31" i="2"/>
  <c r="DG31" i="2"/>
  <c r="DF31" i="2"/>
  <c r="DE31" i="2"/>
  <c r="DI21" i="2" l="1"/>
  <c r="DH13" i="2"/>
  <c r="DG13" i="2"/>
  <c r="DF21" i="2"/>
  <c r="DE21" i="2"/>
  <c r="DH21" i="2" l="1"/>
  <c r="DI13" i="2"/>
  <c r="DF13" i="2"/>
  <c r="DE13" i="2"/>
  <c r="DG21" i="2"/>
  <c r="DI11" i="2"/>
  <c r="DH11" i="2"/>
  <c r="DG11" i="2"/>
  <c r="DF11" i="2"/>
  <c r="DE11" i="2"/>
  <c r="DI10" i="2"/>
  <c r="DH10" i="2"/>
  <c r="DG10" i="2"/>
  <c r="DF10" i="2"/>
  <c r="DE10" i="2"/>
  <c r="DI9" i="2"/>
  <c r="DH9" i="2"/>
  <c r="DG9" i="2"/>
  <c r="DF9" i="2"/>
  <c r="DE9" i="2"/>
  <c r="DI12" i="2"/>
  <c r="DH12" i="2"/>
  <c r="DG12" i="2"/>
  <c r="DF12" i="2"/>
  <c r="DE12" i="2"/>
  <c r="DJ35" i="3" l="1"/>
  <c r="DI35" i="3"/>
  <c r="DH35" i="3"/>
  <c r="DG35" i="3"/>
  <c r="DF35" i="3"/>
  <c r="DE35" i="3"/>
  <c r="CQ31" i="3"/>
  <c r="DI30" i="3"/>
  <c r="DH30" i="3"/>
  <c r="DG30" i="3"/>
  <c r="DF30" i="3"/>
  <c r="DE30" i="3"/>
  <c r="DI29" i="3"/>
  <c r="DH29" i="3"/>
  <c r="DG29" i="3"/>
  <c r="DF29" i="3"/>
  <c r="DE29" i="3"/>
  <c r="DI10" i="3"/>
  <c r="DH10" i="3"/>
  <c r="DG10" i="3"/>
  <c r="DF10" i="3"/>
  <c r="DE10" i="3"/>
  <c r="DD34" i="2"/>
  <c r="DC34" i="2"/>
  <c r="DD31" i="2"/>
  <c r="DC31" i="2"/>
  <c r="DI38" i="3" l="1"/>
  <c r="DM38" i="3"/>
  <c r="DK38" i="3"/>
  <c r="DL38" i="3"/>
  <c r="DH38" i="3"/>
  <c r="DG38" i="3"/>
  <c r="DF38" i="3"/>
  <c r="DJ38" i="3"/>
  <c r="DD11" i="2"/>
  <c r="DC11" i="2"/>
  <c r="DB11" i="2"/>
  <c r="DD10" i="2"/>
  <c r="DC10" i="2"/>
  <c r="DB10" i="2"/>
  <c r="DD9" i="2"/>
  <c r="DC9" i="2"/>
  <c r="DB9" i="2"/>
  <c r="DD21" i="2"/>
  <c r="DC21" i="2"/>
  <c r="DB21" i="2"/>
  <c r="DC13" i="2" l="1"/>
  <c r="DB13" i="2"/>
  <c r="DD13" i="2"/>
  <c r="DD12" i="2"/>
  <c r="DC12" i="2"/>
  <c r="DB12" i="2"/>
  <c r="DB38" i="3" l="1"/>
  <c r="DD35" i="3"/>
  <c r="DC35" i="3"/>
  <c r="CZ33" i="3"/>
  <c r="CZ32" i="3"/>
  <c r="CZ31" i="3"/>
  <c r="DD30" i="3"/>
  <c r="DC30" i="3"/>
  <c r="DD29" i="3"/>
  <c r="DC29" i="3"/>
  <c r="DD10" i="3"/>
  <c r="DC10" i="3"/>
  <c r="DD38" i="3" l="1"/>
  <c r="DC38" i="3"/>
  <c r="DE38" i="3"/>
  <c r="DP23" i="1"/>
  <c r="DP24" i="1"/>
  <c r="DP25" i="1"/>
  <c r="DO24" i="1"/>
  <c r="DO25" i="1"/>
  <c r="DO23" i="1"/>
  <c r="DN25" i="1"/>
  <c r="DN24" i="1"/>
  <c r="DN23" i="1"/>
  <c r="DN35" i="1"/>
  <c r="DO35" i="1"/>
  <c r="DP35" i="1"/>
  <c r="DN36" i="1"/>
  <c r="DO36" i="1"/>
  <c r="DP36" i="1"/>
  <c r="DN34" i="1"/>
  <c r="DO34" i="1"/>
  <c r="DP34" i="1"/>
  <c r="DO38" i="1"/>
  <c r="DP38" i="1"/>
  <c r="DQ38" i="1"/>
  <c r="DR38" i="1"/>
  <c r="DS38" i="1"/>
  <c r="DT38" i="1"/>
  <c r="DU38" i="1"/>
  <c r="DO39" i="1"/>
  <c r="DP39" i="1"/>
  <c r="DQ39" i="1"/>
  <c r="DR39" i="1"/>
  <c r="DS39" i="1"/>
  <c r="DT39" i="1"/>
  <c r="DU39" i="1"/>
  <c r="CZ19" i="8"/>
  <c r="CY19" i="8"/>
  <c r="CX19" i="8"/>
  <c r="CZ18" i="8"/>
  <c r="CY18" i="8"/>
  <c r="CX18" i="8"/>
  <c r="CZ17" i="8"/>
  <c r="CY17" i="8"/>
  <c r="CX17" i="8"/>
  <c r="CZ16" i="8"/>
  <c r="CY16" i="8"/>
  <c r="CX16" i="8"/>
  <c r="CZ15" i="8"/>
  <c r="CY15" i="8"/>
  <c r="CX15" i="8"/>
  <c r="CZ14" i="8"/>
  <c r="CY14" i="8"/>
  <c r="CX14" i="8"/>
  <c r="CZ13" i="8"/>
  <c r="CY13" i="8"/>
  <c r="CX13" i="8"/>
  <c r="CZ11" i="8"/>
  <c r="CY11" i="8"/>
  <c r="CX11" i="8"/>
  <c r="DJ34" i="1"/>
  <c r="DK34" i="1"/>
  <c r="DL34" i="1"/>
  <c r="DJ35" i="1"/>
  <c r="DK35" i="1"/>
  <c r="DL35" i="1"/>
  <c r="DJ36" i="1"/>
  <c r="DK36" i="1"/>
  <c r="DL36" i="1"/>
  <c r="DN39" i="1"/>
  <c r="DN38" i="1"/>
  <c r="DK38" i="1"/>
  <c r="DL38" i="1"/>
  <c r="DK39" i="1"/>
  <c r="DL39" i="1"/>
  <c r="DJ23" i="1"/>
  <c r="DK23" i="1"/>
  <c r="DL23" i="1"/>
  <c r="DJ24" i="1"/>
  <c r="DK24" i="1"/>
  <c r="DL24" i="1"/>
  <c r="DJ25" i="1"/>
  <c r="DK25" i="1"/>
  <c r="DL25" i="1"/>
  <c r="DL12" i="1"/>
  <c r="DI12" i="1"/>
  <c r="DB52" i="2" l="1"/>
  <c r="DB51" i="2"/>
  <c r="DB50" i="2"/>
  <c r="DB34" i="2"/>
  <c r="CZ34" i="2"/>
  <c r="CY34" i="2"/>
  <c r="DB31" i="2"/>
  <c r="CZ31" i="2"/>
  <c r="CY31" i="2"/>
  <c r="CZ52" i="2"/>
  <c r="CY52" i="2"/>
  <c r="CX52" i="2"/>
  <c r="CZ51" i="2"/>
  <c r="CY51" i="2"/>
  <c r="CX51" i="2"/>
  <c r="CZ50" i="2"/>
  <c r="CY50" i="2"/>
  <c r="CX50" i="2"/>
  <c r="CZ48" i="2"/>
  <c r="CY48" i="2"/>
  <c r="CX48" i="2"/>
  <c r="CZ47" i="2"/>
  <c r="CY47" i="2"/>
  <c r="CX47" i="2"/>
  <c r="CZ46" i="2"/>
  <c r="CY46" i="2"/>
  <c r="CX46" i="2"/>
  <c r="CZ45" i="2"/>
  <c r="CY45" i="2"/>
  <c r="CX45" i="2"/>
  <c r="CZ44" i="2"/>
  <c r="CY44" i="2"/>
  <c r="CX44" i="2"/>
  <c r="CZ43" i="2"/>
  <c r="CY43" i="2"/>
  <c r="CX43" i="2"/>
  <c r="CZ42" i="2"/>
  <c r="CY42" i="2"/>
  <c r="CX42" i="2"/>
  <c r="CX40" i="2"/>
  <c r="CZ40" i="2"/>
  <c r="CY40" i="2"/>
  <c r="CZ39" i="2"/>
  <c r="CY39" i="2"/>
  <c r="CX39" i="2"/>
  <c r="CZ38" i="2"/>
  <c r="CY38" i="2"/>
  <c r="CX38" i="2"/>
  <c r="CZ11" i="2" l="1"/>
  <c r="CY11" i="2"/>
  <c r="CX11" i="2"/>
  <c r="CZ10" i="2"/>
  <c r="CY10" i="2"/>
  <c r="CX10" i="2"/>
  <c r="CZ12" i="2"/>
  <c r="CY12" i="2"/>
  <c r="CX12" i="2"/>
  <c r="CZ9" i="2"/>
  <c r="CY9" i="2"/>
  <c r="CX9" i="2"/>
  <c r="CZ13" i="2"/>
  <c r="CY21" i="2"/>
  <c r="CX21" i="2"/>
  <c r="CX13" i="2" l="1"/>
  <c r="CY13" i="2"/>
  <c r="CZ21" i="2"/>
  <c r="DB35" i="3"/>
  <c r="CZ35" i="3"/>
  <c r="CY35" i="3"/>
  <c r="CX35" i="3"/>
  <c r="CW35" i="3"/>
  <c r="CV35" i="3"/>
  <c r="DB30" i="3"/>
  <c r="DB29" i="3"/>
  <c r="DB10" i="3"/>
  <c r="DD20" i="3" l="1"/>
  <c r="DM20" i="3"/>
  <c r="DJ20" i="3"/>
  <c r="DG20" i="3"/>
  <c r="DZ28" i="3"/>
  <c r="DU28" i="3"/>
  <c r="DY28" i="3"/>
  <c r="DR28" i="3"/>
  <c r="DW28" i="3"/>
  <c r="DS28" i="3"/>
  <c r="DX28" i="3"/>
  <c r="DV28" i="3"/>
  <c r="DT28" i="3"/>
  <c r="DQ28" i="3"/>
  <c r="DP28" i="3"/>
  <c r="DO28" i="3"/>
  <c r="DB28" i="3"/>
  <c r="DE28" i="3"/>
  <c r="DF28" i="3"/>
  <c r="DC28" i="3"/>
  <c r="DD28" i="3"/>
  <c r="CW33" i="3"/>
  <c r="CW31" i="3"/>
  <c r="CZ30" i="3"/>
  <c r="CY30" i="3"/>
  <c r="CX30" i="3"/>
  <c r="CZ29" i="3"/>
  <c r="CY29" i="3"/>
  <c r="CX29" i="3"/>
  <c r="CZ10" i="3"/>
  <c r="CY10" i="3"/>
  <c r="CX10" i="3"/>
  <c r="CO17" i="8"/>
  <c r="CP17" i="8"/>
  <c r="CQ17" i="8"/>
  <c r="CR17" i="8"/>
  <c r="CS17" i="8"/>
  <c r="CT17" i="8"/>
  <c r="CU17" i="8"/>
  <c r="CV17" i="8"/>
  <c r="CW17" i="8"/>
  <c r="CW13" i="8" l="1"/>
  <c r="CW14" i="8"/>
  <c r="CW15" i="8"/>
  <c r="CW16" i="8"/>
  <c r="CW18" i="8"/>
  <c r="CW19" i="8"/>
  <c r="CW11" i="8"/>
  <c r="CV13" i="8"/>
  <c r="CV14" i="8"/>
  <c r="CV15" i="8"/>
  <c r="CV16" i="8"/>
  <c r="CV18" i="8"/>
  <c r="CV19" i="8"/>
  <c r="CV11" i="8"/>
  <c r="CU13" i="8"/>
  <c r="CU14" i="8"/>
  <c r="CU15" i="8"/>
  <c r="CU16" i="8"/>
  <c r="CU18" i="8"/>
  <c r="CU19" i="8"/>
  <c r="CU11" i="8"/>
  <c r="DJ38" i="1" l="1"/>
  <c r="DJ39" i="1"/>
  <c r="DH38" i="1"/>
  <c r="DI38" i="1"/>
  <c r="DH39" i="1"/>
  <c r="DI39" i="1"/>
  <c r="DH23" i="1"/>
  <c r="DI23" i="1"/>
  <c r="DH24" i="1"/>
  <c r="DI24" i="1"/>
  <c r="DH25" i="1"/>
  <c r="DI25" i="1"/>
  <c r="DH34" i="1"/>
  <c r="DI34" i="1"/>
  <c r="DH35" i="1"/>
  <c r="DI35" i="1"/>
  <c r="DH36" i="1"/>
  <c r="DI36" i="1"/>
  <c r="CX34" i="2"/>
  <c r="CW34" i="2"/>
  <c r="CV34" i="2"/>
  <c r="CX31" i="2"/>
  <c r="CW31" i="2"/>
  <c r="CV31" i="2"/>
  <c r="CW52" i="2"/>
  <c r="CV52" i="2"/>
  <c r="CU52" i="2"/>
  <c r="CW51" i="2"/>
  <c r="CV51" i="2"/>
  <c r="CU51" i="2"/>
  <c r="CW50" i="2"/>
  <c r="CV50" i="2"/>
  <c r="CU50" i="2"/>
  <c r="CS52" i="2"/>
  <c r="CS51" i="2"/>
  <c r="CS50" i="2"/>
  <c r="CT52" i="2"/>
  <c r="CT51" i="2"/>
  <c r="CT50" i="2"/>
  <c r="CW48" i="2"/>
  <c r="CV48" i="2"/>
  <c r="CU48" i="2"/>
  <c r="CW47" i="2"/>
  <c r="CV47" i="2"/>
  <c r="CU47" i="2"/>
  <c r="CW46" i="2"/>
  <c r="CV46" i="2"/>
  <c r="CU46" i="2"/>
  <c r="CW45" i="2"/>
  <c r="CV45" i="2"/>
  <c r="CU45" i="2"/>
  <c r="CW44" i="2"/>
  <c r="CV44" i="2"/>
  <c r="CU44" i="2"/>
  <c r="CW43" i="2"/>
  <c r="CV43" i="2"/>
  <c r="CU43" i="2"/>
  <c r="CW42" i="2"/>
  <c r="CV42" i="2"/>
  <c r="CU42" i="2"/>
  <c r="CT48" i="2"/>
  <c r="CT47" i="2"/>
  <c r="CT46" i="2"/>
  <c r="CT45" i="2"/>
  <c r="CT44" i="2"/>
  <c r="CT43" i="2"/>
  <c r="CT42" i="2"/>
  <c r="CW40" i="2"/>
  <c r="CV40" i="2"/>
  <c r="CU40" i="2"/>
  <c r="CT40" i="2"/>
  <c r="CW39" i="2"/>
  <c r="CV39" i="2"/>
  <c r="CU39" i="2"/>
  <c r="CT39" i="2"/>
  <c r="CW38" i="2"/>
  <c r="CV38" i="2"/>
  <c r="CU38" i="2"/>
  <c r="CT38" i="2"/>
  <c r="CO12" i="2"/>
  <c r="CP12" i="2"/>
  <c r="CQ12" i="2"/>
  <c r="CR12" i="2"/>
  <c r="CS12" i="2"/>
  <c r="CT12" i="2"/>
  <c r="CU12" i="2"/>
  <c r="CV12" i="2"/>
  <c r="CW12" i="2"/>
  <c r="CO13" i="2"/>
  <c r="CP13" i="2"/>
  <c r="CQ13" i="2"/>
  <c r="CR13" i="2"/>
  <c r="CS13" i="2"/>
  <c r="CT13" i="2"/>
  <c r="CU13" i="2"/>
  <c r="CV13" i="2"/>
  <c r="CW13" i="2"/>
  <c r="CO11" i="2" l="1"/>
  <c r="CP11" i="2"/>
  <c r="CQ11" i="2"/>
  <c r="CR11" i="2"/>
  <c r="CS11" i="2"/>
  <c r="CT11" i="2"/>
  <c r="CU11" i="2"/>
  <c r="CV11" i="2"/>
  <c r="CW11" i="2"/>
  <c r="CO10" i="2"/>
  <c r="CP10" i="2"/>
  <c r="CQ10" i="2"/>
  <c r="CR10" i="2"/>
  <c r="CS10" i="2"/>
  <c r="CT10" i="2"/>
  <c r="CU10" i="2"/>
  <c r="CV10" i="2"/>
  <c r="CW10" i="2"/>
  <c r="CU9" i="2"/>
  <c r="CV9" i="2"/>
  <c r="CW9" i="2"/>
  <c r="CW21" i="2" l="1"/>
  <c r="CV21" i="2"/>
  <c r="CU21" i="2"/>
  <c r="CW38" i="3"/>
  <c r="CV38" i="3"/>
  <c r="CZ38" i="3" l="1"/>
  <c r="CY38" i="3"/>
  <c r="CX38" i="3"/>
  <c r="CO35" i="3"/>
  <c r="CP35" i="3"/>
  <c r="CQ35" i="3"/>
  <c r="CR35" i="3"/>
  <c r="CS35" i="3"/>
  <c r="CT35" i="3"/>
  <c r="CU35" i="3"/>
  <c r="CT33" i="3"/>
  <c r="CT32" i="3"/>
  <c r="CT31" i="3"/>
  <c r="CW30" i="3"/>
  <c r="CV30" i="3"/>
  <c r="CW29" i="3"/>
  <c r="CV29" i="3"/>
  <c r="CW10" i="3"/>
  <c r="CV10" i="3"/>
  <c r="CU38" i="3"/>
  <c r="CU30" i="3"/>
  <c r="CU29" i="3"/>
  <c r="CT10" i="3"/>
  <c r="CU10" i="3"/>
  <c r="CW20" i="3" l="1"/>
  <c r="CT20" i="3"/>
  <c r="CZ20" i="3"/>
  <c r="DM28" i="3"/>
  <c r="DK28" i="3"/>
  <c r="DL28" i="3"/>
  <c r="DJ28" i="3"/>
  <c r="DG28" i="3"/>
  <c r="DI28" i="3"/>
  <c r="DH28" i="3"/>
  <c r="CX28" i="3"/>
  <c r="CY28" i="3"/>
  <c r="CZ28" i="3"/>
  <c r="CW28" i="3"/>
  <c r="CV28" i="3"/>
  <c r="CU28" i="3"/>
  <c r="DG34" i="1"/>
  <c r="DG35" i="1"/>
  <c r="DG36" i="1"/>
  <c r="DG23" i="1"/>
  <c r="DG24" i="1"/>
  <c r="DG25" i="1"/>
  <c r="DF12" i="1" l="1"/>
  <c r="CT30" i="3"/>
  <c r="CS30" i="3"/>
  <c r="CT29" i="3"/>
  <c r="CS29" i="3"/>
  <c r="CT28" i="3"/>
  <c r="CS28" i="3"/>
  <c r="CU31" i="2"/>
  <c r="CT31" i="2"/>
  <c r="CS31" i="2"/>
  <c r="CU34" i="2"/>
  <c r="CT34" i="2"/>
  <c r="CS34" i="2"/>
  <c r="CT21" i="2"/>
  <c r="CS21" i="2"/>
  <c r="CR21" i="2"/>
  <c r="CT9" i="2"/>
  <c r="CS9" i="2"/>
  <c r="CR9" i="2"/>
  <c r="CT38" i="3" l="1"/>
  <c r="CS38" i="3"/>
  <c r="CR38" i="3"/>
  <c r="CQ38" i="3"/>
  <c r="CP38" i="3"/>
  <c r="CO38" i="3"/>
  <c r="CM38" i="3"/>
  <c r="CL38" i="3"/>
  <c r="CH38" i="3"/>
  <c r="CG38" i="3"/>
  <c r="CF38" i="3"/>
  <c r="CE38" i="3"/>
  <c r="CD38" i="3"/>
  <c r="CC38" i="3"/>
  <c r="CB38" i="3"/>
  <c r="BM38" i="3"/>
  <c r="BL38" i="3"/>
  <c r="BK38" i="3"/>
  <c r="BJ38" i="3"/>
  <c r="BI38" i="3"/>
  <c r="BH38" i="3"/>
  <c r="BG38" i="3"/>
  <c r="BF38" i="3"/>
  <c r="BE38" i="3"/>
  <c r="BD38" i="3"/>
  <c r="BC38" i="3"/>
  <c r="BB38" i="3"/>
  <c r="AZ38" i="3"/>
  <c r="AY38" i="3"/>
  <c r="AX38" i="3"/>
  <c r="AW38" i="3"/>
  <c r="AV38" i="3"/>
  <c r="AU38" i="3"/>
  <c r="AT38" i="3"/>
  <c r="AS38" i="3"/>
  <c r="AR38" i="3"/>
  <c r="AQ38" i="3"/>
  <c r="AP38" i="3"/>
  <c r="AO38" i="3"/>
  <c r="V38" i="3"/>
  <c r="U38" i="3"/>
  <c r="T38" i="3"/>
  <c r="S38" i="3"/>
  <c r="R38" i="3"/>
  <c r="Q38" i="3"/>
  <c r="P38" i="3"/>
  <c r="O38" i="3"/>
  <c r="CK37" i="3"/>
  <c r="CK38" i="3" s="1"/>
  <c r="CJ37" i="3"/>
  <c r="CJ38" i="3" s="1"/>
  <c r="CI37" i="3"/>
  <c r="CI38" i="3" s="1"/>
  <c r="CM35" i="3"/>
  <c r="CL35" i="3"/>
  <c r="CK35" i="3"/>
  <c r="CJ35" i="3"/>
  <c r="CI35" i="3"/>
  <c r="CH35" i="3"/>
  <c r="CG35" i="3"/>
  <c r="CF35" i="3"/>
  <c r="CE35" i="3"/>
  <c r="CD35" i="3"/>
  <c r="CC35" i="3"/>
  <c r="CB35" i="3"/>
  <c r="BZ35" i="3"/>
  <c r="BY35" i="3"/>
  <c r="BX35" i="3"/>
  <c r="BW35" i="3"/>
  <c r="BV35" i="3"/>
  <c r="BU35" i="3"/>
  <c r="BT35" i="3"/>
  <c r="BS35" i="3"/>
  <c r="BR35" i="3"/>
  <c r="BQ35" i="3"/>
  <c r="BP35" i="3"/>
  <c r="BO35" i="3"/>
  <c r="BM35" i="3"/>
  <c r="BL35" i="3"/>
  <c r="BK35" i="3"/>
  <c r="BJ35" i="3"/>
  <c r="BI35" i="3"/>
  <c r="BH35" i="3"/>
  <c r="BG35" i="3"/>
  <c r="BF35" i="3"/>
  <c r="BE35" i="3"/>
  <c r="BD35" i="3"/>
  <c r="BC35" i="3"/>
  <c r="BB35" i="3"/>
  <c r="AZ35" i="3"/>
  <c r="AY35" i="3"/>
  <c r="AX35" i="3"/>
  <c r="AW35" i="3"/>
  <c r="AV35" i="3"/>
  <c r="AU35" i="3"/>
  <c r="AT35" i="3"/>
  <c r="AS35" i="3"/>
  <c r="AR35" i="3"/>
  <c r="AQ35" i="3"/>
  <c r="AP35" i="3"/>
  <c r="AO35" i="3"/>
  <c r="AM35" i="3"/>
  <c r="AL35" i="3"/>
  <c r="AK35" i="3"/>
  <c r="AJ35" i="3"/>
  <c r="AI35" i="3"/>
  <c r="AH35" i="3"/>
  <c r="AG35" i="3"/>
  <c r="AF35" i="3"/>
  <c r="AE35" i="3"/>
  <c r="AD35" i="3"/>
  <c r="AC35" i="3"/>
  <c r="AB35" i="3"/>
  <c r="Z35" i="3"/>
  <c r="Y35" i="3"/>
  <c r="X35" i="3"/>
  <c r="W35" i="3"/>
  <c r="V35" i="3"/>
  <c r="U35" i="3"/>
  <c r="T35" i="3"/>
  <c r="S35" i="3"/>
  <c r="R35" i="3"/>
  <c r="Q35" i="3"/>
  <c r="P35" i="3"/>
  <c r="O35" i="3"/>
  <c r="CQ33" i="3"/>
  <c r="CM33" i="3"/>
  <c r="CJ33" i="3"/>
  <c r="CG33" i="3"/>
  <c r="CD33" i="3"/>
  <c r="BZ33" i="3"/>
  <c r="BW33" i="3"/>
  <c r="BT33" i="3"/>
  <c r="BQ33" i="3"/>
  <c r="BM33" i="3"/>
  <c r="BJ33" i="3"/>
  <c r="BG33" i="3"/>
  <c r="BD33" i="3"/>
  <c r="AZ33" i="3"/>
  <c r="AW33" i="3"/>
  <c r="AT33" i="3"/>
  <c r="AQ33" i="3"/>
  <c r="AM33" i="3"/>
  <c r="AJ33" i="3"/>
  <c r="AG33" i="3"/>
  <c r="AD33" i="3"/>
  <c r="Z33" i="3"/>
  <c r="W33" i="3"/>
  <c r="T33" i="3"/>
  <c r="Q33" i="3"/>
  <c r="CQ32" i="3"/>
  <c r="CM32" i="3"/>
  <c r="CJ32" i="3"/>
  <c r="CG32" i="3"/>
  <c r="CD32" i="3"/>
  <c r="BZ32" i="3"/>
  <c r="BW32" i="3"/>
  <c r="BT32" i="3"/>
  <c r="BQ32" i="3"/>
  <c r="BM32" i="3"/>
  <c r="BJ32" i="3"/>
  <c r="BG32" i="3"/>
  <c r="BD32" i="3"/>
  <c r="AZ32" i="3"/>
  <c r="AW32" i="3"/>
  <c r="AT32" i="3"/>
  <c r="AQ32" i="3"/>
  <c r="AM32" i="3"/>
  <c r="AJ32" i="3"/>
  <c r="AG32" i="3"/>
  <c r="AD32" i="3"/>
  <c r="Z32" i="3"/>
  <c r="W32" i="3"/>
  <c r="T32" i="3"/>
  <c r="Q32" i="3"/>
  <c r="CM31" i="3"/>
  <c r="CJ31" i="3"/>
  <c r="CG31" i="3"/>
  <c r="CD31" i="3"/>
  <c r="BZ31" i="3"/>
  <c r="BW31" i="3"/>
  <c r="BT31" i="3"/>
  <c r="BQ31" i="3"/>
  <c r="BM31" i="3"/>
  <c r="BJ31" i="3"/>
  <c r="BG31" i="3"/>
  <c r="BD31" i="3"/>
  <c r="AZ31" i="3"/>
  <c r="AW31" i="3"/>
  <c r="AT31" i="3"/>
  <c r="AQ31" i="3"/>
  <c r="AM31" i="3"/>
  <c r="AJ31" i="3"/>
  <c r="AG31" i="3"/>
  <c r="AD31" i="3"/>
  <c r="Z31" i="3"/>
  <c r="W31" i="3"/>
  <c r="T31" i="3"/>
  <c r="Q31" i="3"/>
  <c r="CR30" i="3"/>
  <c r="CQ30" i="3"/>
  <c r="CP30" i="3"/>
  <c r="CO30" i="3"/>
  <c r="CM30" i="3"/>
  <c r="CL30" i="3"/>
  <c r="CK30" i="3"/>
  <c r="CJ30" i="3"/>
  <c r="CI30" i="3"/>
  <c r="CH30" i="3"/>
  <c r="CG30" i="3"/>
  <c r="CF30" i="3"/>
  <c r="CE30" i="3"/>
  <c r="CD30" i="3"/>
  <c r="CC30" i="3"/>
  <c r="CB30" i="3"/>
  <c r="BZ30" i="3"/>
  <c r="BY30" i="3"/>
  <c r="BX30" i="3"/>
  <c r="BW30" i="3"/>
  <c r="BV30" i="3"/>
  <c r="BU30" i="3"/>
  <c r="BT30" i="3"/>
  <c r="BS30" i="3"/>
  <c r="BR30" i="3"/>
  <c r="BQ30" i="3"/>
  <c r="BP30" i="3"/>
  <c r="BO30" i="3"/>
  <c r="BM30" i="3"/>
  <c r="BL30" i="3"/>
  <c r="BK30" i="3"/>
  <c r="BJ30" i="3"/>
  <c r="BI30" i="3"/>
  <c r="BH30" i="3"/>
  <c r="BG30" i="3"/>
  <c r="BF30" i="3"/>
  <c r="BE30" i="3"/>
  <c r="BD30" i="3"/>
  <c r="BC30" i="3"/>
  <c r="BB30" i="3"/>
  <c r="AZ30" i="3"/>
  <c r="AY30" i="3"/>
  <c r="AX30" i="3"/>
  <c r="AW30" i="3"/>
  <c r="AV30" i="3"/>
  <c r="AU30" i="3"/>
  <c r="AT30" i="3"/>
  <c r="AS30" i="3"/>
  <c r="AR30" i="3"/>
  <c r="AQ30" i="3"/>
  <c r="AP30" i="3"/>
  <c r="AO30" i="3"/>
  <c r="AM30" i="3"/>
  <c r="AK30" i="3"/>
  <c r="AJ30" i="3"/>
  <c r="AI30" i="3"/>
  <c r="AH30" i="3"/>
  <c r="AG30" i="3"/>
  <c r="AF30" i="3"/>
  <c r="AE30" i="3"/>
  <c r="AD30" i="3"/>
  <c r="AC30" i="3"/>
  <c r="AB30" i="3"/>
  <c r="Z30" i="3"/>
  <c r="Y30" i="3"/>
  <c r="X30" i="3"/>
  <c r="W30" i="3"/>
  <c r="V30" i="3"/>
  <c r="U30" i="3"/>
  <c r="T30" i="3"/>
  <c r="S30" i="3"/>
  <c r="R30" i="3"/>
  <c r="Q30" i="3"/>
  <c r="P30" i="3"/>
  <c r="CR29" i="3"/>
  <c r="CQ29" i="3"/>
  <c r="CP29" i="3"/>
  <c r="CO29" i="3"/>
  <c r="CM29" i="3"/>
  <c r="CL29" i="3"/>
  <c r="CK29" i="3"/>
  <c r="CJ29" i="3"/>
  <c r="CI29" i="3"/>
  <c r="CH29" i="3"/>
  <c r="CG29" i="3"/>
  <c r="CF29" i="3"/>
  <c r="CE29" i="3"/>
  <c r="CD29" i="3"/>
  <c r="CC29" i="3"/>
  <c r="CB29" i="3"/>
  <c r="BZ29" i="3"/>
  <c r="BY29" i="3"/>
  <c r="BX29" i="3"/>
  <c r="BW29" i="3"/>
  <c r="BV29" i="3"/>
  <c r="BU29" i="3"/>
  <c r="BT29" i="3"/>
  <c r="BS29" i="3"/>
  <c r="BR29" i="3"/>
  <c r="BQ29" i="3"/>
  <c r="BP29" i="3"/>
  <c r="BO29" i="3"/>
  <c r="BM29" i="3"/>
  <c r="BL29" i="3"/>
  <c r="BK29" i="3"/>
  <c r="BJ29" i="3"/>
  <c r="BI29" i="3"/>
  <c r="BH29" i="3"/>
  <c r="BG29" i="3"/>
  <c r="BF29" i="3"/>
  <c r="BE29" i="3"/>
  <c r="BD29" i="3"/>
  <c r="BC29" i="3"/>
  <c r="BB29" i="3"/>
  <c r="AZ29" i="3"/>
  <c r="AY29" i="3"/>
  <c r="AX29" i="3"/>
  <c r="AW29" i="3"/>
  <c r="AV29" i="3"/>
  <c r="AU29" i="3"/>
  <c r="AT29" i="3"/>
  <c r="AS29" i="3"/>
  <c r="AR29" i="3"/>
  <c r="AQ29" i="3"/>
  <c r="AP29" i="3"/>
  <c r="AO29" i="3"/>
  <c r="AM29" i="3"/>
  <c r="AK29" i="3"/>
  <c r="AJ29" i="3"/>
  <c r="AI29" i="3"/>
  <c r="AH29" i="3"/>
  <c r="AG29" i="3"/>
  <c r="AF29" i="3"/>
  <c r="AE29" i="3"/>
  <c r="AD29" i="3"/>
  <c r="AC29" i="3"/>
  <c r="AB29" i="3"/>
  <c r="Z29" i="3"/>
  <c r="Y29" i="3"/>
  <c r="X29" i="3"/>
  <c r="W29" i="3"/>
  <c r="V29" i="3"/>
  <c r="U29" i="3"/>
  <c r="T29" i="3"/>
  <c r="S29" i="3"/>
  <c r="R29" i="3"/>
  <c r="Q29" i="3"/>
  <c r="P29" i="3"/>
  <c r="CR28" i="3"/>
  <c r="CQ28" i="3"/>
  <c r="CP28" i="3"/>
  <c r="CO28" i="3"/>
  <c r="CM28" i="3"/>
  <c r="CL28" i="3"/>
  <c r="CK28" i="3"/>
  <c r="CJ28" i="3"/>
  <c r="CI28" i="3"/>
  <c r="CH28" i="3"/>
  <c r="CG28" i="3"/>
  <c r="CF28" i="3"/>
  <c r="CE28" i="3"/>
  <c r="CD28" i="3"/>
  <c r="CC28" i="3"/>
  <c r="CB28" i="3"/>
  <c r="BZ28" i="3"/>
  <c r="BY28" i="3"/>
  <c r="BX28" i="3"/>
  <c r="BW28" i="3"/>
  <c r="BV28" i="3"/>
  <c r="BU28" i="3"/>
  <c r="BT28" i="3"/>
  <c r="BS28" i="3"/>
  <c r="BR28" i="3"/>
  <c r="BQ28" i="3"/>
  <c r="BP28" i="3"/>
  <c r="BO28" i="3"/>
  <c r="BM28" i="3"/>
  <c r="BL28" i="3"/>
  <c r="BK28" i="3"/>
  <c r="BJ28" i="3"/>
  <c r="BI28" i="3"/>
  <c r="BH28" i="3"/>
  <c r="BG28" i="3"/>
  <c r="BF28" i="3"/>
  <c r="BE28" i="3"/>
  <c r="BD28" i="3"/>
  <c r="BC28" i="3"/>
  <c r="BB28" i="3"/>
  <c r="AZ28" i="3"/>
  <c r="AY28" i="3"/>
  <c r="AX28" i="3"/>
  <c r="AW28" i="3"/>
  <c r="AV28" i="3"/>
  <c r="AU28" i="3"/>
  <c r="AT28" i="3"/>
  <c r="AS28" i="3"/>
  <c r="AR28" i="3"/>
  <c r="AQ28" i="3"/>
  <c r="AP28" i="3"/>
  <c r="AO28" i="3"/>
  <c r="AM28" i="3"/>
  <c r="AL28" i="3"/>
  <c r="AK28" i="3"/>
  <c r="AJ28" i="3"/>
  <c r="AI28" i="3"/>
  <c r="AH28" i="3"/>
  <c r="AG28" i="3"/>
  <c r="AF28" i="3"/>
  <c r="AE28" i="3"/>
  <c r="AD28" i="3"/>
  <c r="AC28" i="3"/>
  <c r="AB28" i="3"/>
  <c r="Z28" i="3"/>
  <c r="Y28" i="3"/>
  <c r="X28" i="3"/>
  <c r="W28" i="3"/>
  <c r="V28" i="3"/>
  <c r="U28" i="3"/>
  <c r="T28" i="3"/>
  <c r="S28" i="3"/>
  <c r="R28" i="3"/>
  <c r="Q28" i="3"/>
  <c r="P28" i="3"/>
  <c r="O28" i="3"/>
  <c r="BC22" i="3"/>
  <c r="BB22" i="3"/>
  <c r="BA22" i="3"/>
  <c r="BC21" i="3"/>
  <c r="BB21" i="3"/>
  <c r="BA21" i="3"/>
  <c r="BS20" i="3"/>
  <c r="BR20" i="3"/>
  <c r="BK20" i="3"/>
  <c r="BI20" i="3"/>
  <c r="BH20" i="3"/>
  <c r="BC20" i="3"/>
  <c r="BB20" i="3"/>
  <c r="BA20" i="3"/>
  <c r="BS19" i="3"/>
  <c r="BR19" i="3"/>
  <c r="DE34" i="1" l="1"/>
  <c r="DF34" i="1"/>
  <c r="DE35" i="1"/>
  <c r="DF35" i="1"/>
  <c r="DE36" i="1"/>
  <c r="DF36" i="1"/>
  <c r="DF23" i="1"/>
  <c r="DF24" i="1"/>
  <c r="DF25" i="1"/>
  <c r="DE23" i="1"/>
  <c r="DE24" i="1"/>
  <c r="DE25" i="1"/>
  <c r="DG39" i="1"/>
  <c r="DG38" i="1"/>
  <c r="DF39" i="1" l="1"/>
  <c r="DF38" i="1"/>
  <c r="CT13" i="8" l="1"/>
  <c r="CT14" i="8"/>
  <c r="CT15" i="8"/>
  <c r="CT16" i="8"/>
  <c r="CT18" i="8"/>
  <c r="CT19" i="8"/>
  <c r="CT11" i="8"/>
  <c r="CS13" i="8"/>
  <c r="CS14" i="8"/>
  <c r="CS15" i="8"/>
  <c r="CS16" i="8"/>
  <c r="CS18" i="8"/>
  <c r="CS19" i="8"/>
  <c r="CS11" i="8"/>
  <c r="CR13" i="8"/>
  <c r="CR14" i="8"/>
  <c r="CR15" i="8"/>
  <c r="CR16" i="8"/>
  <c r="CR18" i="8"/>
  <c r="CR19" i="8"/>
  <c r="CR11" i="8"/>
  <c r="CQ13" i="8" l="1"/>
  <c r="CQ14" i="8"/>
  <c r="CQ15" i="8"/>
  <c r="CQ16" i="8"/>
  <c r="CQ18" i="8"/>
  <c r="CQ19" i="8"/>
  <c r="CQ11" i="8"/>
  <c r="CQ47" i="8"/>
  <c r="CQ32" i="8" l="1"/>
  <c r="CT47" i="8"/>
  <c r="CW47" i="8" s="1"/>
  <c r="CQ31" i="8"/>
  <c r="CQ26" i="8"/>
  <c r="CQ30" i="8"/>
  <c r="CQ24" i="8"/>
  <c r="CQ25" i="8"/>
  <c r="CQ29" i="8"/>
  <c r="CQ22" i="8"/>
  <c r="CQ27" i="8"/>
  <c r="CQ23" i="8"/>
  <c r="CQ28" i="8"/>
  <c r="DE38" i="1"/>
  <c r="DE39" i="1"/>
  <c r="DC35" i="1"/>
  <c r="DD35" i="1"/>
  <c r="DC36" i="1"/>
  <c r="DD36" i="1"/>
  <c r="DC38" i="1"/>
  <c r="DD38" i="1"/>
  <c r="DC39" i="1"/>
  <c r="DD39" i="1"/>
  <c r="DC34" i="1"/>
  <c r="DD34" i="1"/>
  <c r="DB35" i="1"/>
  <c r="DC23" i="1"/>
  <c r="DD23" i="1"/>
  <c r="DC24" i="1"/>
  <c r="DD24" i="1"/>
  <c r="DC25" i="1"/>
  <c r="DD25" i="1"/>
  <c r="DB24" i="1"/>
  <c r="DC12" i="1"/>
  <c r="CW31" i="8" l="1"/>
  <c r="CW27" i="8"/>
  <c r="CW23" i="8"/>
  <c r="CW25" i="8"/>
  <c r="CW30" i="8"/>
  <c r="CW32" i="8"/>
  <c r="CW28" i="8"/>
  <c r="CW24" i="8"/>
  <c r="CW29" i="8"/>
  <c r="CW22" i="8"/>
  <c r="CW26" i="8"/>
  <c r="CZ47" i="8"/>
  <c r="CT24" i="8"/>
  <c r="CT28" i="8"/>
  <c r="CT32" i="8"/>
  <c r="CT23" i="8"/>
  <c r="CT27" i="8"/>
  <c r="CT31" i="8"/>
  <c r="CT26" i="8"/>
  <c r="CT30" i="8"/>
  <c r="CT25" i="8"/>
  <c r="CT29" i="8"/>
  <c r="CT22" i="8"/>
  <c r="CR34" i="2"/>
  <c r="CR31" i="2"/>
  <c r="CQ21" i="2"/>
  <c r="CQ9" i="2"/>
  <c r="CP19" i="8"/>
  <c r="CP18" i="8"/>
  <c r="CP16" i="8"/>
  <c r="CP15" i="8"/>
  <c r="CP14" i="8"/>
  <c r="CP13" i="8"/>
  <c r="CP11" i="8"/>
  <c r="CZ22" i="8" l="1"/>
  <c r="CZ29" i="8"/>
  <c r="CZ25" i="8"/>
  <c r="CZ27" i="8"/>
  <c r="CZ23" i="8"/>
  <c r="CZ32" i="8"/>
  <c r="CZ30" i="8"/>
  <c r="CZ26" i="8"/>
  <c r="CZ31" i="8"/>
  <c r="CZ28" i="8"/>
  <c r="CZ24" i="8"/>
  <c r="DB39" i="1"/>
  <c r="DB38" i="1"/>
  <c r="DA39" i="1"/>
  <c r="DA38" i="1"/>
  <c r="DB36" i="1"/>
  <c r="DA36" i="1"/>
  <c r="DA35" i="1"/>
  <c r="DA34" i="1"/>
  <c r="DB34" i="1"/>
  <c r="DA23" i="1"/>
  <c r="DB23" i="1"/>
  <c r="DA24" i="1"/>
  <c r="DA25" i="1"/>
  <c r="DB25" i="1"/>
  <c r="CQ34" i="2"/>
  <c r="CP34" i="2"/>
  <c r="CO34" i="2"/>
  <c r="CQ31" i="2"/>
  <c r="CP31" i="2"/>
  <c r="CO31" i="2"/>
  <c r="CP21" i="2"/>
  <c r="CO21" i="2"/>
  <c r="CP9" i="2" l="1"/>
  <c r="CO9" i="2"/>
  <c r="CM9" i="2"/>
  <c r="CM13" i="2" l="1"/>
  <c r="CM12" i="2"/>
  <c r="CM11" i="2"/>
  <c r="CM10" i="2"/>
  <c r="CY12" i="1"/>
  <c r="CL13" i="2"/>
  <c r="CK13" i="2"/>
  <c r="CJ13" i="2"/>
  <c r="CI13" i="2"/>
  <c r="CH13" i="2"/>
  <c r="CG13" i="2"/>
  <c r="CF13" i="2"/>
  <c r="CE13" i="2"/>
  <c r="CD13" i="2"/>
  <c r="CC13" i="2"/>
  <c r="CB13" i="2"/>
  <c r="BZ13" i="2"/>
  <c r="BY13" i="2"/>
  <c r="BX13" i="2"/>
  <c r="BW13" i="2"/>
  <c r="BV13" i="2"/>
  <c r="BU13" i="2"/>
  <c r="BT13" i="2"/>
  <c r="BS13" i="2"/>
  <c r="BR13" i="2"/>
  <c r="BQ13" i="2"/>
  <c r="BP13" i="2"/>
  <c r="BO13" i="2"/>
  <c r="CL12" i="2"/>
  <c r="CK12" i="2"/>
  <c r="CJ12" i="2"/>
  <c r="CI12" i="2"/>
  <c r="CH12" i="2"/>
  <c r="CG12" i="2"/>
  <c r="CF12" i="2"/>
  <c r="CE12" i="2"/>
  <c r="CD12" i="2"/>
  <c r="CC12" i="2"/>
  <c r="CB12" i="2"/>
  <c r="BZ12" i="2"/>
  <c r="BY12" i="2"/>
  <c r="BX12" i="2"/>
  <c r="BW12" i="2"/>
  <c r="BV12" i="2"/>
  <c r="BU12" i="2"/>
  <c r="BT12" i="2"/>
  <c r="BS12" i="2"/>
  <c r="BR12" i="2"/>
  <c r="BQ12" i="2"/>
  <c r="BP12" i="2"/>
  <c r="BO12" i="2"/>
  <c r="CL11" i="2"/>
  <c r="CK11" i="2"/>
  <c r="CJ11" i="2"/>
  <c r="CI11" i="2"/>
  <c r="CL10" i="2"/>
  <c r="CK10" i="2"/>
  <c r="CJ10" i="2"/>
  <c r="CI10" i="2"/>
  <c r="CL9" i="2"/>
  <c r="CK9" i="2"/>
  <c r="CJ9" i="2"/>
  <c r="CI9" i="2"/>
  <c r="CO13" i="8"/>
  <c r="CO14" i="8"/>
  <c r="CO15" i="8"/>
  <c r="CO16" i="8"/>
  <c r="CO18" i="8"/>
  <c r="CO19" i="8"/>
  <c r="CM13" i="8"/>
  <c r="CM14" i="8"/>
  <c r="CM15" i="8"/>
  <c r="CM16" i="8"/>
  <c r="CM18" i="8"/>
  <c r="CM19" i="8"/>
  <c r="CM11" i="8"/>
  <c r="CO11" i="8"/>
  <c r="CY25" i="1"/>
  <c r="CY24" i="1"/>
  <c r="CY23" i="1"/>
  <c r="CY39" i="1"/>
  <c r="CY38" i="1"/>
  <c r="CY35" i="1"/>
  <c r="CY36" i="1"/>
  <c r="CY34" i="1"/>
  <c r="CM21" i="2"/>
  <c r="CK13" i="8"/>
  <c r="CK14" i="8"/>
  <c r="CK15" i="8"/>
  <c r="CK16" i="8"/>
  <c r="CK18" i="8"/>
  <c r="CK19" i="8"/>
  <c r="CL13" i="8"/>
  <c r="CL14" i="8"/>
  <c r="CL15" i="8"/>
  <c r="CL16" i="8"/>
  <c r="CL18" i="8"/>
  <c r="CL19" i="8"/>
  <c r="CK11" i="8"/>
  <c r="CL11" i="8"/>
  <c r="CX39" i="1"/>
  <c r="CX38" i="1"/>
  <c r="CV23" i="1"/>
  <c r="CW23" i="1"/>
  <c r="CX23" i="1"/>
  <c r="CV24" i="1"/>
  <c r="CW24" i="1"/>
  <c r="CX24" i="1"/>
  <c r="CV25" i="1"/>
  <c r="CW25" i="1"/>
  <c r="CX25" i="1"/>
  <c r="CW47" i="1"/>
  <c r="CV34" i="1"/>
  <c r="CW34" i="1"/>
  <c r="CX34" i="1"/>
  <c r="CV35" i="1"/>
  <c r="CW35" i="1"/>
  <c r="CX35" i="1"/>
  <c r="CV36" i="1"/>
  <c r="CW36" i="1"/>
  <c r="CX36" i="1"/>
  <c r="CM34" i="2"/>
  <c r="CL34" i="2"/>
  <c r="CK34" i="2"/>
  <c r="CM31" i="2"/>
  <c r="CL31" i="2"/>
  <c r="CK31" i="2"/>
  <c r="CL21" i="2"/>
  <c r="CK21" i="2"/>
  <c r="CV12" i="1"/>
  <c r="CJ31" i="2"/>
  <c r="CI31" i="2"/>
  <c r="CJ34" i="2"/>
  <c r="CI34" i="2"/>
  <c r="CJ21" i="2"/>
  <c r="CI21" i="2"/>
  <c r="CJ19" i="8"/>
  <c r="CJ18" i="8"/>
  <c r="CJ16" i="8"/>
  <c r="CJ15" i="8"/>
  <c r="CJ11" i="8"/>
  <c r="CW39" i="1"/>
  <c r="CW38" i="1"/>
  <c r="CU36" i="1"/>
  <c r="CU35" i="1"/>
  <c r="CU34" i="1"/>
  <c r="CU25" i="1"/>
  <c r="CU24" i="1"/>
  <c r="CU23" i="1"/>
  <c r="CS12" i="1"/>
  <c r="CV39" i="1"/>
  <c r="CV38" i="1"/>
  <c r="CT36" i="1"/>
  <c r="CT35" i="1"/>
  <c r="CT34" i="1"/>
  <c r="CT25" i="1"/>
  <c r="CT24" i="1"/>
  <c r="CT23" i="1"/>
  <c r="CI19" i="8"/>
  <c r="CI18" i="8"/>
  <c r="CI16" i="8"/>
  <c r="CI15" i="8"/>
  <c r="CJ14" i="8"/>
  <c r="CI14" i="8"/>
  <c r="CJ13" i="8"/>
  <c r="CI13" i="8"/>
  <c r="CI11" i="8"/>
  <c r="CI45" i="8"/>
  <c r="CH19" i="8"/>
  <c r="CH18" i="8"/>
  <c r="CH16" i="8"/>
  <c r="CH11" i="8"/>
  <c r="CH45" i="8"/>
  <c r="CG45" i="8"/>
  <c r="CF45" i="8"/>
  <c r="CU39" i="1"/>
  <c r="CU38" i="1"/>
  <c r="CS25" i="1"/>
  <c r="CS24" i="1"/>
  <c r="CS23" i="1"/>
  <c r="CS36" i="1"/>
  <c r="CS35" i="1"/>
  <c r="CS34" i="1"/>
  <c r="CH21" i="2"/>
  <c r="CH9" i="2"/>
  <c r="CH10" i="2"/>
  <c r="CH11" i="2"/>
  <c r="CH34" i="2"/>
  <c r="CH31" i="2"/>
  <c r="CT47" i="1"/>
  <c r="CT38" i="1"/>
  <c r="CT39" i="1"/>
  <c r="CH15" i="8"/>
  <c r="CH14" i="8"/>
  <c r="CH13" i="8"/>
  <c r="CG19" i="8"/>
  <c r="CG18" i="8"/>
  <c r="CG16" i="8"/>
  <c r="CG15" i="8"/>
  <c r="CG14" i="8"/>
  <c r="CG13" i="8"/>
  <c r="CG11" i="8"/>
  <c r="CF19" i="8"/>
  <c r="CF18" i="8"/>
  <c r="CF16" i="8"/>
  <c r="CF11" i="8"/>
  <c r="CR36" i="1"/>
  <c r="CR35" i="1"/>
  <c r="CR34" i="1"/>
  <c r="CR25" i="1"/>
  <c r="CR24" i="1"/>
  <c r="CR23" i="1"/>
  <c r="CG34" i="2"/>
  <c r="CG31" i="2"/>
  <c r="CG21" i="2"/>
  <c r="CG9" i="2"/>
  <c r="CG10" i="2"/>
  <c r="CG11" i="2"/>
  <c r="CS38" i="1"/>
  <c r="CS39" i="1"/>
  <c r="CQ36" i="1"/>
  <c r="CQ35" i="1"/>
  <c r="CQ34" i="1"/>
  <c r="CQ25" i="1"/>
  <c r="CQ24" i="1"/>
  <c r="CQ23" i="1"/>
  <c r="CF21" i="2"/>
  <c r="CF9" i="2"/>
  <c r="CF11" i="2"/>
  <c r="CF10" i="2"/>
  <c r="CE10" i="2"/>
  <c r="CD11" i="2"/>
  <c r="CD10" i="2"/>
  <c r="CD9" i="2"/>
  <c r="CC11" i="2"/>
  <c r="CC10" i="2"/>
  <c r="CC9" i="2"/>
  <c r="BZ11" i="2"/>
  <c r="BZ10" i="2"/>
  <c r="BZ9" i="2"/>
  <c r="BY11" i="2"/>
  <c r="BY10" i="2"/>
  <c r="BY9" i="2"/>
  <c r="BX11" i="2"/>
  <c r="BX10" i="2"/>
  <c r="BX9" i="2"/>
  <c r="BW11" i="2"/>
  <c r="BW10" i="2"/>
  <c r="BW9" i="2"/>
  <c r="BV11" i="2"/>
  <c r="BV10" i="2"/>
  <c r="BV9" i="2"/>
  <c r="BU11" i="2"/>
  <c r="BU10" i="2"/>
  <c r="BU9" i="2"/>
  <c r="BT11" i="2"/>
  <c r="BT10" i="2"/>
  <c r="BT9" i="2"/>
  <c r="BS11" i="2"/>
  <c r="BS10" i="2"/>
  <c r="BS9" i="2"/>
  <c r="BR11" i="2"/>
  <c r="BR10" i="2"/>
  <c r="BR9" i="2"/>
  <c r="BQ11" i="2"/>
  <c r="BQ10" i="2"/>
  <c r="BQ9" i="2"/>
  <c r="BP11" i="2"/>
  <c r="BP10" i="2"/>
  <c r="BP9" i="2"/>
  <c r="BO11" i="2"/>
  <c r="BO10" i="2"/>
  <c r="BM11" i="2"/>
  <c r="BM10" i="2"/>
  <c r="BM9" i="2"/>
  <c r="BL11" i="2"/>
  <c r="BL10" i="2"/>
  <c r="BL9" i="2"/>
  <c r="BK11" i="2"/>
  <c r="BK10" i="2"/>
  <c r="BK9" i="2"/>
  <c r="BJ11" i="2"/>
  <c r="BJ10" i="2"/>
  <c r="BJ9" i="2"/>
  <c r="BI11" i="2"/>
  <c r="BI10" i="2"/>
  <c r="BI9" i="2"/>
  <c r="BH11" i="2"/>
  <c r="BH10" i="2"/>
  <c r="BH9" i="2"/>
  <c r="BG11" i="2"/>
  <c r="BG10" i="2"/>
  <c r="BG9" i="2"/>
  <c r="BF11" i="2"/>
  <c r="BF10" i="2"/>
  <c r="BF9" i="2"/>
  <c r="BE11" i="2"/>
  <c r="BE10" i="2"/>
  <c r="BE9" i="2"/>
  <c r="BD11" i="2"/>
  <c r="BD10" i="2"/>
  <c r="BD9" i="2"/>
  <c r="BC11" i="2"/>
  <c r="BC10" i="2"/>
  <c r="BC9" i="2"/>
  <c r="BB11" i="2"/>
  <c r="BB10" i="2"/>
  <c r="BB9" i="2"/>
  <c r="AZ11" i="2"/>
  <c r="AZ10" i="2"/>
  <c r="AZ9" i="2"/>
  <c r="AY11" i="2"/>
  <c r="AY10" i="2"/>
  <c r="AY9" i="2"/>
  <c r="AX11" i="2"/>
  <c r="AX10" i="2"/>
  <c r="AX9" i="2"/>
  <c r="AW11" i="2"/>
  <c r="AW10" i="2"/>
  <c r="AW9" i="2"/>
  <c r="AV11" i="2"/>
  <c r="AV10" i="2"/>
  <c r="AV9" i="2"/>
  <c r="AU11" i="2"/>
  <c r="AU10" i="2"/>
  <c r="AU9" i="2"/>
  <c r="AT11" i="2"/>
  <c r="AT10" i="2"/>
  <c r="AT9" i="2"/>
  <c r="AS11" i="2"/>
  <c r="AS10" i="2"/>
  <c r="AS9" i="2"/>
  <c r="AR11" i="2"/>
  <c r="AR10" i="2"/>
  <c r="AR9" i="2"/>
  <c r="AQ11" i="2"/>
  <c r="AQ10" i="2"/>
  <c r="AQ9" i="2"/>
  <c r="AP11" i="2"/>
  <c r="AP10" i="2"/>
  <c r="AP9" i="2"/>
  <c r="AO11" i="2"/>
  <c r="AO10" i="2"/>
  <c r="AO9" i="2"/>
  <c r="AM11" i="2"/>
  <c r="AM10" i="2"/>
  <c r="AM9" i="2"/>
  <c r="AL11" i="2"/>
  <c r="AL10" i="2"/>
  <c r="AL9" i="2"/>
  <c r="AK11" i="2"/>
  <c r="AK10" i="2"/>
  <c r="AK9" i="2"/>
  <c r="AJ11" i="2"/>
  <c r="AJ10" i="2"/>
  <c r="AJ9" i="2"/>
  <c r="AI11" i="2"/>
  <c r="AI10" i="2"/>
  <c r="AI9" i="2"/>
  <c r="AH11" i="2"/>
  <c r="AH10" i="2"/>
  <c r="AH9" i="2"/>
  <c r="AG11" i="2"/>
  <c r="AG10" i="2"/>
  <c r="AG9" i="2"/>
  <c r="AF11" i="2"/>
  <c r="AF10" i="2"/>
  <c r="AF9" i="2"/>
  <c r="AE11" i="2"/>
  <c r="AE10" i="2"/>
  <c r="AE9" i="2"/>
  <c r="AD11" i="2"/>
  <c r="AD10" i="2"/>
  <c r="AD9" i="2"/>
  <c r="AC11" i="2"/>
  <c r="AC10" i="2"/>
  <c r="AC9" i="2"/>
  <c r="AB11" i="2"/>
  <c r="AB10" i="2"/>
  <c r="AB9" i="2"/>
  <c r="Z11" i="2"/>
  <c r="Z10" i="2"/>
  <c r="Z9" i="2"/>
  <c r="Y11" i="2"/>
  <c r="Y10" i="2"/>
  <c r="Y9" i="2"/>
  <c r="X11" i="2"/>
  <c r="X10" i="2"/>
  <c r="X9" i="2"/>
  <c r="W11" i="2"/>
  <c r="W10" i="2"/>
  <c r="W9" i="2"/>
  <c r="V11" i="2"/>
  <c r="V10" i="2"/>
  <c r="V9" i="2"/>
  <c r="U11" i="2"/>
  <c r="U10" i="2"/>
  <c r="U9" i="2"/>
  <c r="T11" i="2"/>
  <c r="T10" i="2"/>
  <c r="T9" i="2"/>
  <c r="S11" i="2"/>
  <c r="S10" i="2"/>
  <c r="S9" i="2"/>
  <c r="R11" i="2"/>
  <c r="R10" i="2"/>
  <c r="R9" i="2"/>
  <c r="Q11" i="2"/>
  <c r="Q10" i="2"/>
  <c r="Q9" i="2"/>
  <c r="P11" i="2"/>
  <c r="P10" i="2"/>
  <c r="P9" i="2"/>
  <c r="O11" i="2"/>
  <c r="O10" i="2"/>
  <c r="O9" i="2"/>
  <c r="M11" i="2"/>
  <c r="M10" i="2"/>
  <c r="M9" i="2"/>
  <c r="L11" i="2"/>
  <c r="L10" i="2"/>
  <c r="L9" i="2"/>
  <c r="K11" i="2"/>
  <c r="K10" i="2"/>
  <c r="K9" i="2"/>
  <c r="J11" i="2"/>
  <c r="J10" i="2"/>
  <c r="J9" i="2"/>
  <c r="I11" i="2"/>
  <c r="I10" i="2"/>
  <c r="I9" i="2"/>
  <c r="H11" i="2"/>
  <c r="H10" i="2"/>
  <c r="H9" i="2"/>
  <c r="G11" i="2"/>
  <c r="G10" i="2"/>
  <c r="G9" i="2"/>
  <c r="F11" i="2"/>
  <c r="F10" i="2"/>
  <c r="F9" i="2"/>
  <c r="E11" i="2"/>
  <c r="E10" i="2"/>
  <c r="E9" i="2"/>
  <c r="D11" i="2"/>
  <c r="D10" i="2"/>
  <c r="D9" i="2"/>
  <c r="C11" i="2"/>
  <c r="C10" i="2"/>
  <c r="C9" i="2"/>
  <c r="B11" i="2"/>
  <c r="B10" i="2"/>
  <c r="B9" i="2"/>
  <c r="CE11" i="2"/>
  <c r="CE9" i="2"/>
  <c r="CF15" i="8"/>
  <c r="CF14" i="8"/>
  <c r="CF13" i="8"/>
  <c r="CF34" i="2"/>
  <c r="CE34" i="2"/>
  <c r="CF31" i="2"/>
  <c r="CE31" i="2"/>
  <c r="O11" i="8"/>
  <c r="P11" i="8"/>
  <c r="Q11" i="8"/>
  <c r="R11" i="8"/>
  <c r="S11" i="8"/>
  <c r="T11" i="8"/>
  <c r="U11" i="8"/>
  <c r="V11" i="8"/>
  <c r="W11" i="8"/>
  <c r="X11" i="8"/>
  <c r="Y11" i="8"/>
  <c r="Z11" i="8"/>
  <c r="AB11" i="8"/>
  <c r="AC11" i="8"/>
  <c r="AD11" i="8"/>
  <c r="AE11" i="8"/>
  <c r="AF11" i="8"/>
  <c r="AG11" i="8"/>
  <c r="AH11" i="8"/>
  <c r="AI11" i="8"/>
  <c r="AJ11" i="8"/>
  <c r="AK11" i="8"/>
  <c r="AL11" i="8"/>
  <c r="AM11" i="8"/>
  <c r="AO11" i="8"/>
  <c r="AP11" i="8"/>
  <c r="AQ11" i="8"/>
  <c r="AR11" i="8"/>
  <c r="AS11" i="8"/>
  <c r="AT11" i="8"/>
  <c r="AU11" i="8"/>
  <c r="AV11" i="8"/>
  <c r="AW11" i="8"/>
  <c r="AX11" i="8"/>
  <c r="AY11" i="8"/>
  <c r="AZ11" i="8"/>
  <c r="BB11" i="8"/>
  <c r="BC11" i="8"/>
  <c r="BD11" i="8"/>
  <c r="BE11" i="8"/>
  <c r="BF11" i="8"/>
  <c r="BG11" i="8"/>
  <c r="BH11" i="8"/>
  <c r="BI11" i="8"/>
  <c r="BJ11" i="8"/>
  <c r="BK11" i="8"/>
  <c r="BL11" i="8"/>
  <c r="BM11" i="8"/>
  <c r="BO11" i="8"/>
  <c r="BP11" i="8"/>
  <c r="BQ11" i="8"/>
  <c r="BR11" i="8"/>
  <c r="BS11" i="8"/>
  <c r="BT11" i="8"/>
  <c r="BU11" i="8"/>
  <c r="BV11" i="8"/>
  <c r="BW11" i="8"/>
  <c r="BX11" i="8"/>
  <c r="BY11" i="8"/>
  <c r="BZ11" i="8"/>
  <c r="CB11" i="8"/>
  <c r="CC11" i="8"/>
  <c r="CD11" i="8"/>
  <c r="CE11" i="8"/>
  <c r="O13" i="8"/>
  <c r="P13" i="8"/>
  <c r="Q13" i="8"/>
  <c r="R13" i="8"/>
  <c r="S13" i="8"/>
  <c r="T13" i="8"/>
  <c r="U13" i="8"/>
  <c r="V13" i="8"/>
  <c r="W13" i="8"/>
  <c r="X13" i="8"/>
  <c r="Y13" i="8"/>
  <c r="Z13" i="8"/>
  <c r="AB13" i="8"/>
  <c r="AC13" i="8"/>
  <c r="AD13" i="8"/>
  <c r="AE13" i="8"/>
  <c r="AF13" i="8"/>
  <c r="AG13" i="8"/>
  <c r="AH13" i="8"/>
  <c r="AI13" i="8"/>
  <c r="AJ13" i="8"/>
  <c r="AK13" i="8"/>
  <c r="AL13" i="8"/>
  <c r="AM13" i="8"/>
  <c r="AO13" i="8"/>
  <c r="AP13" i="8"/>
  <c r="AQ13" i="8"/>
  <c r="AR13" i="8"/>
  <c r="AS13" i="8"/>
  <c r="AT13" i="8"/>
  <c r="AU13" i="8"/>
  <c r="AV13" i="8"/>
  <c r="AW13" i="8"/>
  <c r="AX13" i="8"/>
  <c r="AY13" i="8"/>
  <c r="AZ13" i="8"/>
  <c r="BB13" i="8"/>
  <c r="BC13" i="8"/>
  <c r="BD13" i="8"/>
  <c r="BE13" i="8"/>
  <c r="BF13" i="8"/>
  <c r="BG13" i="8"/>
  <c r="BH13" i="8"/>
  <c r="BI13" i="8"/>
  <c r="BJ13" i="8"/>
  <c r="BK13" i="8"/>
  <c r="BL13" i="8"/>
  <c r="BM13" i="8"/>
  <c r="BO13" i="8"/>
  <c r="BP13" i="8"/>
  <c r="BQ13" i="8"/>
  <c r="BR13" i="8"/>
  <c r="BS13" i="8"/>
  <c r="BT13" i="8"/>
  <c r="BU13" i="8"/>
  <c r="BV13" i="8"/>
  <c r="BW13" i="8"/>
  <c r="BX13" i="8"/>
  <c r="BY13" i="8"/>
  <c r="BZ13" i="8"/>
  <c r="CB13" i="8"/>
  <c r="CC13" i="8"/>
  <c r="CD13" i="8"/>
  <c r="CE13" i="8"/>
  <c r="O14" i="8"/>
  <c r="P14" i="8"/>
  <c r="Q14" i="8"/>
  <c r="R14" i="8"/>
  <c r="S14" i="8"/>
  <c r="T14" i="8"/>
  <c r="U14" i="8"/>
  <c r="V14" i="8"/>
  <c r="W14" i="8"/>
  <c r="X14" i="8"/>
  <c r="Y14" i="8"/>
  <c r="Z14" i="8"/>
  <c r="AB14" i="8"/>
  <c r="AC14" i="8"/>
  <c r="AD14" i="8"/>
  <c r="AG14" i="8"/>
  <c r="AH14" i="8"/>
  <c r="AK14" i="8"/>
  <c r="AL14" i="8"/>
  <c r="AO14" i="8"/>
  <c r="AP14" i="8"/>
  <c r="AQ14" i="8"/>
  <c r="AT14" i="8"/>
  <c r="AU14" i="8"/>
  <c r="AX14" i="8"/>
  <c r="AY14" i="8"/>
  <c r="BB14" i="8"/>
  <c r="BC14" i="8"/>
  <c r="BD14" i="8"/>
  <c r="BE14" i="8"/>
  <c r="BF14" i="8"/>
  <c r="BG14" i="8"/>
  <c r="BH14" i="8"/>
  <c r="BI14" i="8"/>
  <c r="BJ14" i="8"/>
  <c r="BK14" i="8"/>
  <c r="BL14" i="8"/>
  <c r="BM14" i="8"/>
  <c r="BO14" i="8"/>
  <c r="BP14" i="8"/>
  <c r="BQ14" i="8"/>
  <c r="BR14" i="8"/>
  <c r="BS14" i="8"/>
  <c r="BT14" i="8"/>
  <c r="BU14" i="8"/>
  <c r="BV14" i="8"/>
  <c r="BW14" i="8"/>
  <c r="BX14" i="8"/>
  <c r="BY14" i="8"/>
  <c r="BZ14" i="8"/>
  <c r="CB14" i="8"/>
  <c r="CC14" i="8"/>
  <c r="CD14" i="8"/>
  <c r="CE14" i="8"/>
  <c r="O15" i="8"/>
  <c r="P15" i="8"/>
  <c r="Q15" i="8"/>
  <c r="R15" i="8"/>
  <c r="S15" i="8"/>
  <c r="T15" i="8"/>
  <c r="U15" i="8"/>
  <c r="V15" i="8"/>
  <c r="W15" i="8"/>
  <c r="X15" i="8"/>
  <c r="Y15" i="8"/>
  <c r="Z15" i="8"/>
  <c r="AB15" i="8"/>
  <c r="AC15" i="8"/>
  <c r="AD15" i="8"/>
  <c r="AE15" i="8"/>
  <c r="AF15" i="8"/>
  <c r="AG15" i="8"/>
  <c r="AH15" i="8"/>
  <c r="AI15" i="8"/>
  <c r="AJ15" i="8"/>
  <c r="AK15" i="8"/>
  <c r="AL15" i="8"/>
  <c r="AM15" i="8"/>
  <c r="AO15" i="8"/>
  <c r="AP15" i="8"/>
  <c r="AQ15" i="8"/>
  <c r="AR15" i="8"/>
  <c r="AS15" i="8"/>
  <c r="AT15" i="8"/>
  <c r="AU15" i="8"/>
  <c r="AV15" i="8"/>
  <c r="AW15" i="8"/>
  <c r="AX15" i="8"/>
  <c r="AY15" i="8"/>
  <c r="AZ15" i="8"/>
  <c r="BB15" i="8"/>
  <c r="BC15" i="8"/>
  <c r="BD15" i="8"/>
  <c r="BE15" i="8"/>
  <c r="BF15" i="8"/>
  <c r="BG15" i="8"/>
  <c r="BH15" i="8"/>
  <c r="BI15" i="8"/>
  <c r="BJ15" i="8"/>
  <c r="BK15" i="8"/>
  <c r="BL15" i="8"/>
  <c r="BM15" i="8"/>
  <c r="BO15" i="8"/>
  <c r="BP15" i="8"/>
  <c r="BQ15" i="8"/>
  <c r="BR15" i="8"/>
  <c r="BS15" i="8"/>
  <c r="BT15" i="8"/>
  <c r="BU15" i="8"/>
  <c r="BV15" i="8"/>
  <c r="BW15" i="8"/>
  <c r="BX15" i="8"/>
  <c r="BY15" i="8"/>
  <c r="BZ15" i="8"/>
  <c r="CB15" i="8"/>
  <c r="CC15" i="8"/>
  <c r="CD15" i="8"/>
  <c r="CE15" i="8"/>
  <c r="O16" i="8"/>
  <c r="P16" i="8"/>
  <c r="Q16" i="8"/>
  <c r="R16" i="8"/>
  <c r="S16" i="8"/>
  <c r="T16" i="8"/>
  <c r="U16" i="8"/>
  <c r="V16" i="8"/>
  <c r="W16" i="8"/>
  <c r="X16" i="8"/>
  <c r="Y16" i="8"/>
  <c r="Z16" i="8"/>
  <c r="AB16" i="8"/>
  <c r="AC16" i="8"/>
  <c r="AD16" i="8"/>
  <c r="AE16" i="8"/>
  <c r="AF16" i="8"/>
  <c r="AG16" i="8"/>
  <c r="AH16" i="8"/>
  <c r="AI16" i="8"/>
  <c r="AJ16" i="8"/>
  <c r="AK16" i="8"/>
  <c r="AL16" i="8"/>
  <c r="AM16" i="8"/>
  <c r="AO16" i="8"/>
  <c r="AP16" i="8"/>
  <c r="AQ16" i="8"/>
  <c r="AR16" i="8"/>
  <c r="AS16" i="8"/>
  <c r="AT16" i="8"/>
  <c r="AU16" i="8"/>
  <c r="AV16" i="8"/>
  <c r="AW16" i="8"/>
  <c r="AX16" i="8"/>
  <c r="AY16" i="8"/>
  <c r="AZ16" i="8"/>
  <c r="BB16" i="8"/>
  <c r="BC16" i="8"/>
  <c r="BD16" i="8"/>
  <c r="BE16" i="8"/>
  <c r="BF16" i="8"/>
  <c r="BG16" i="8"/>
  <c r="BH16" i="8"/>
  <c r="BI16" i="8"/>
  <c r="BJ16" i="8"/>
  <c r="BK16" i="8"/>
  <c r="BL16" i="8"/>
  <c r="BM16" i="8"/>
  <c r="BO16" i="8"/>
  <c r="BP16" i="8"/>
  <c r="BQ16" i="8"/>
  <c r="BR16" i="8"/>
  <c r="BS16" i="8"/>
  <c r="BT16" i="8"/>
  <c r="BU16" i="8"/>
  <c r="BV16" i="8"/>
  <c r="BW16" i="8"/>
  <c r="BX16" i="8"/>
  <c r="BY16" i="8"/>
  <c r="BZ16" i="8"/>
  <c r="CB16" i="8"/>
  <c r="CC16" i="8"/>
  <c r="CD16" i="8"/>
  <c r="CE16" i="8"/>
  <c r="O18" i="8"/>
  <c r="P18" i="8"/>
  <c r="Q18" i="8"/>
  <c r="R18" i="8"/>
  <c r="S18" i="8"/>
  <c r="T18" i="8"/>
  <c r="U18" i="8"/>
  <c r="V18" i="8"/>
  <c r="W18" i="8"/>
  <c r="X18" i="8"/>
  <c r="Y18" i="8"/>
  <c r="Z18" i="8"/>
  <c r="AB18" i="8"/>
  <c r="AC18" i="8"/>
  <c r="AD18" i="8"/>
  <c r="AE18" i="8"/>
  <c r="AF18" i="8"/>
  <c r="AG18" i="8"/>
  <c r="AH18" i="8"/>
  <c r="AI18" i="8"/>
  <c r="AJ18" i="8"/>
  <c r="AK18" i="8"/>
  <c r="AL18" i="8"/>
  <c r="AM18" i="8"/>
  <c r="AO18" i="8"/>
  <c r="AP18" i="8"/>
  <c r="AQ18" i="8"/>
  <c r="AR18" i="8"/>
  <c r="AS18" i="8"/>
  <c r="AT18" i="8"/>
  <c r="AU18" i="8"/>
  <c r="AV18" i="8"/>
  <c r="AW18" i="8"/>
  <c r="AX18" i="8"/>
  <c r="AY18" i="8"/>
  <c r="AZ18" i="8"/>
  <c r="BB18" i="8"/>
  <c r="BC18" i="8"/>
  <c r="BD18" i="8"/>
  <c r="BE18" i="8"/>
  <c r="BF18" i="8"/>
  <c r="BG18" i="8"/>
  <c r="BH18" i="8"/>
  <c r="BI18" i="8"/>
  <c r="BJ18" i="8"/>
  <c r="BK18" i="8"/>
  <c r="BL18" i="8"/>
  <c r="BM18" i="8"/>
  <c r="BO18" i="8"/>
  <c r="BP18" i="8"/>
  <c r="BQ18" i="8"/>
  <c r="BR18" i="8"/>
  <c r="BS18" i="8"/>
  <c r="BT18" i="8"/>
  <c r="BU18" i="8"/>
  <c r="BV18" i="8"/>
  <c r="BW18" i="8"/>
  <c r="BX18" i="8"/>
  <c r="BY18" i="8"/>
  <c r="BZ18" i="8"/>
  <c r="CB18" i="8"/>
  <c r="CC18" i="8"/>
  <c r="CD18" i="8"/>
  <c r="CE18" i="8"/>
  <c r="O19" i="8"/>
  <c r="P19" i="8"/>
  <c r="Q19" i="8"/>
  <c r="R19" i="8"/>
  <c r="S19" i="8"/>
  <c r="T19" i="8"/>
  <c r="U19" i="8"/>
  <c r="V19" i="8"/>
  <c r="W19" i="8"/>
  <c r="X19" i="8"/>
  <c r="Y19" i="8"/>
  <c r="Z19" i="8"/>
  <c r="AB19" i="8"/>
  <c r="AC19" i="8"/>
  <c r="AD19" i="8"/>
  <c r="AE19" i="8"/>
  <c r="AF19" i="8"/>
  <c r="AG19" i="8"/>
  <c r="AH19" i="8"/>
  <c r="AI19" i="8"/>
  <c r="AJ19" i="8"/>
  <c r="AK19" i="8"/>
  <c r="AL19" i="8"/>
  <c r="AM19" i="8"/>
  <c r="AO19" i="8"/>
  <c r="AP19" i="8"/>
  <c r="AQ19" i="8"/>
  <c r="AR19" i="8"/>
  <c r="AS19" i="8"/>
  <c r="AT19" i="8"/>
  <c r="AU19" i="8"/>
  <c r="AV19" i="8"/>
  <c r="AW19" i="8"/>
  <c r="AX19" i="8"/>
  <c r="AY19" i="8"/>
  <c r="AZ19" i="8"/>
  <c r="BB19" i="8"/>
  <c r="BC19" i="8"/>
  <c r="BD19" i="8"/>
  <c r="BE19" i="8"/>
  <c r="BF19" i="8"/>
  <c r="BG19" i="8"/>
  <c r="BH19" i="8"/>
  <c r="BI19" i="8"/>
  <c r="BJ19" i="8"/>
  <c r="BK19" i="8"/>
  <c r="BL19" i="8"/>
  <c r="BM19" i="8"/>
  <c r="BO19" i="8"/>
  <c r="BP19" i="8"/>
  <c r="BQ19" i="8"/>
  <c r="BR19" i="8"/>
  <c r="BS19" i="8"/>
  <c r="BT19" i="8"/>
  <c r="BU19" i="8"/>
  <c r="BV19" i="8"/>
  <c r="BW19" i="8"/>
  <c r="BX19" i="8"/>
  <c r="BY19" i="8"/>
  <c r="BZ19" i="8"/>
  <c r="CB19" i="8"/>
  <c r="CC19" i="8"/>
  <c r="CD19" i="8"/>
  <c r="CE19" i="8"/>
  <c r="B37" i="8"/>
  <c r="C37" i="8"/>
  <c r="D37" i="8"/>
  <c r="E37" i="8"/>
  <c r="F37" i="8"/>
  <c r="G37" i="8"/>
  <c r="H37" i="8"/>
  <c r="I37" i="8"/>
  <c r="J37" i="8"/>
  <c r="K37" i="8"/>
  <c r="L37" i="8"/>
  <c r="M37" i="8"/>
  <c r="O37" i="8"/>
  <c r="P37" i="8"/>
  <c r="Q37" i="8"/>
  <c r="R37" i="8"/>
  <c r="S37" i="8"/>
  <c r="T37" i="8"/>
  <c r="U37" i="8"/>
  <c r="V37" i="8"/>
  <c r="W37" i="8"/>
  <c r="X37" i="8"/>
  <c r="Y37" i="8"/>
  <c r="Z37" i="8"/>
  <c r="AB37" i="8"/>
  <c r="AC37" i="8"/>
  <c r="AD37" i="8"/>
  <c r="AE37" i="8"/>
  <c r="AF37" i="8"/>
  <c r="AG37" i="8"/>
  <c r="AH37" i="8"/>
  <c r="AI37" i="8"/>
  <c r="AJ37" i="8"/>
  <c r="AK37" i="8"/>
  <c r="AL37" i="8"/>
  <c r="AM37" i="8"/>
  <c r="AO37" i="8"/>
  <c r="AP37" i="8"/>
  <c r="AQ37" i="8"/>
  <c r="AR37" i="8"/>
  <c r="AS37" i="8"/>
  <c r="AT37" i="8"/>
  <c r="AU37" i="8"/>
  <c r="AV37" i="8"/>
  <c r="AW37" i="8"/>
  <c r="AX37" i="8"/>
  <c r="AY37" i="8"/>
  <c r="AZ37" i="8"/>
  <c r="BB37" i="8"/>
  <c r="BC37" i="8"/>
  <c r="BD37" i="8"/>
  <c r="BE37" i="8"/>
  <c r="BF37" i="8"/>
  <c r="BG37" i="8"/>
  <c r="BH37" i="8"/>
  <c r="BI37" i="8"/>
  <c r="BJ37" i="8"/>
  <c r="BK37" i="8"/>
  <c r="BL37" i="8"/>
  <c r="BM37" i="8"/>
  <c r="BO37" i="8"/>
  <c r="BO12" i="8" s="1"/>
  <c r="BP37" i="8"/>
  <c r="BQ37" i="8"/>
  <c r="BR37" i="8"/>
  <c r="BS37" i="8"/>
  <c r="BT37" i="8"/>
  <c r="BU37" i="8"/>
  <c r="BV37" i="8"/>
  <c r="BW37" i="8"/>
  <c r="BX37" i="8"/>
  <c r="BY37" i="8"/>
  <c r="BZ37" i="8"/>
  <c r="CB37" i="8"/>
  <c r="CC37" i="8"/>
  <c r="CD37" i="8"/>
  <c r="AC39" i="8"/>
  <c r="AE14" i="8" s="1"/>
  <c r="B42" i="8"/>
  <c r="B45" i="8" s="1"/>
  <c r="C42" i="8"/>
  <c r="C45" i="8" s="1"/>
  <c r="D42" i="8"/>
  <c r="D45" i="8" s="1"/>
  <c r="E42" i="8"/>
  <c r="E45" i="8" s="1"/>
  <c r="F42" i="8"/>
  <c r="F45" i="8" s="1"/>
  <c r="G42" i="8"/>
  <c r="G45" i="8" s="1"/>
  <c r="H42" i="8"/>
  <c r="H45" i="8" s="1"/>
  <c r="I42" i="8"/>
  <c r="I45" i="8" s="1"/>
  <c r="J42" i="8"/>
  <c r="J45" i="8" s="1"/>
  <c r="K42" i="8"/>
  <c r="K45" i="8" s="1"/>
  <c r="L42" i="8"/>
  <c r="L45" i="8" s="1"/>
  <c r="M42" i="8"/>
  <c r="M45" i="8" s="1"/>
  <c r="O42" i="8"/>
  <c r="O45" i="8" s="1"/>
  <c r="P42" i="8"/>
  <c r="P45" i="8" s="1"/>
  <c r="Q42" i="8"/>
  <c r="R42" i="8"/>
  <c r="R45" i="8" s="1"/>
  <c r="S42" i="8"/>
  <c r="S45" i="8" s="1"/>
  <c r="T42" i="8"/>
  <c r="T45" i="8" s="1"/>
  <c r="U42" i="8"/>
  <c r="U45" i="8" s="1"/>
  <c r="V42" i="8"/>
  <c r="V45" i="8" s="1"/>
  <c r="W42" i="8"/>
  <c r="W45" i="8" s="1"/>
  <c r="X42" i="8"/>
  <c r="X45" i="8" s="1"/>
  <c r="Y42" i="8"/>
  <c r="Y45" i="8" s="1"/>
  <c r="Z42" i="8"/>
  <c r="Z45" i="8" s="1"/>
  <c r="AB42" i="8"/>
  <c r="AB45" i="8" s="1"/>
  <c r="AC42" i="8"/>
  <c r="AD42" i="8"/>
  <c r="AD45" i="8" s="1"/>
  <c r="AE42" i="8"/>
  <c r="AE45" i="8" s="1"/>
  <c r="AF42" i="8"/>
  <c r="AF45" i="8" s="1"/>
  <c r="AG42" i="8"/>
  <c r="AG45" i="8" s="1"/>
  <c r="AH42" i="8"/>
  <c r="AH45" i="8" s="1"/>
  <c r="AI42" i="8"/>
  <c r="AI45" i="8" s="1"/>
  <c r="AJ42" i="8"/>
  <c r="AJ45" i="8" s="1"/>
  <c r="AK42" i="8"/>
  <c r="AK45" i="8" s="1"/>
  <c r="AL42" i="8"/>
  <c r="AL45" i="8" s="1"/>
  <c r="AM42" i="8"/>
  <c r="AM45" i="8" s="1"/>
  <c r="AO42" i="8"/>
  <c r="AO45" i="8" s="1"/>
  <c r="AP42" i="8"/>
  <c r="AQ42" i="8"/>
  <c r="AR42" i="8"/>
  <c r="AR45" i="8" s="1"/>
  <c r="AS42" i="8"/>
  <c r="AS45" i="8" s="1"/>
  <c r="AT42" i="8"/>
  <c r="AT45" i="8" s="1"/>
  <c r="AU42" i="8"/>
  <c r="AU45" i="8" s="1"/>
  <c r="AV42" i="8"/>
  <c r="AV45" i="8" s="1"/>
  <c r="AW42" i="8"/>
  <c r="AW45" i="8" s="1"/>
  <c r="AX42" i="8"/>
  <c r="AX45" i="8" s="1"/>
  <c r="AY42" i="8"/>
  <c r="AY45" i="8" s="1"/>
  <c r="AZ42" i="8"/>
  <c r="AZ45" i="8" s="1"/>
  <c r="BB42" i="8"/>
  <c r="BB45" i="8" s="1"/>
  <c r="BC42" i="8"/>
  <c r="BC45" i="8" s="1"/>
  <c r="BD42" i="8"/>
  <c r="BD45" i="8" s="1"/>
  <c r="BE42" i="8"/>
  <c r="BE45" i="8" s="1"/>
  <c r="BF42" i="8"/>
  <c r="BF45" i="8" s="1"/>
  <c r="BG42" i="8"/>
  <c r="BG45" i="8" s="1"/>
  <c r="BH42" i="8"/>
  <c r="BH45" i="8" s="1"/>
  <c r="BI42" i="8"/>
  <c r="BI45" i="8" s="1"/>
  <c r="BJ42" i="8"/>
  <c r="BJ45" i="8" s="1"/>
  <c r="BK42" i="8"/>
  <c r="BK45" i="8" s="1"/>
  <c r="BL42" i="8"/>
  <c r="BL45" i="8" s="1"/>
  <c r="BM42" i="8"/>
  <c r="BM45" i="8" s="1"/>
  <c r="BO42" i="8"/>
  <c r="BP42" i="8"/>
  <c r="BP45" i="8" s="1"/>
  <c r="BQ42" i="8"/>
  <c r="BQ45" i="8" s="1"/>
  <c r="BR42" i="8"/>
  <c r="BR45" i="8" s="1"/>
  <c r="BS42" i="8"/>
  <c r="BS45" i="8" s="1"/>
  <c r="BT42" i="8"/>
  <c r="BT45" i="8" s="1"/>
  <c r="BU42" i="8"/>
  <c r="BU45" i="8" s="1"/>
  <c r="BV42" i="8"/>
  <c r="BV45" i="8" s="1"/>
  <c r="BW42" i="8"/>
  <c r="BW45" i="8" s="1"/>
  <c r="BX42" i="8"/>
  <c r="BX45" i="8" s="1"/>
  <c r="BY42" i="8"/>
  <c r="BY45" i="8" s="1"/>
  <c r="BZ42" i="8"/>
  <c r="BZ45" i="8" s="1"/>
  <c r="CD45" i="8"/>
  <c r="D47" i="8"/>
  <c r="D24" i="8" s="1"/>
  <c r="Q47" i="8"/>
  <c r="Q22" i="8" s="1"/>
  <c r="AD47" i="8"/>
  <c r="AG47" i="8" s="1"/>
  <c r="AQ47" i="8"/>
  <c r="AQ32" i="8" s="1"/>
  <c r="BD47" i="8"/>
  <c r="BD25" i="8" s="1"/>
  <c r="BQ47" i="8"/>
  <c r="BQ24" i="8" s="1"/>
  <c r="CD47" i="8"/>
  <c r="CD25" i="8" s="1"/>
  <c r="B12" i="2"/>
  <c r="C12" i="2"/>
  <c r="D12" i="2"/>
  <c r="E12" i="2"/>
  <c r="F12" i="2"/>
  <c r="G12" i="2"/>
  <c r="H12" i="2"/>
  <c r="I12" i="2"/>
  <c r="J12" i="2"/>
  <c r="K12" i="2"/>
  <c r="L12" i="2"/>
  <c r="M12" i="2"/>
  <c r="O12" i="2"/>
  <c r="P12" i="2"/>
  <c r="Q12" i="2"/>
  <c r="R12" i="2"/>
  <c r="S12" i="2"/>
  <c r="T12" i="2"/>
  <c r="U12" i="2"/>
  <c r="V12" i="2"/>
  <c r="W12" i="2"/>
  <c r="X12" i="2"/>
  <c r="Y12" i="2"/>
  <c r="Z12" i="2"/>
  <c r="AB12" i="2"/>
  <c r="AC12" i="2"/>
  <c r="AD12" i="2"/>
  <c r="AE12" i="2"/>
  <c r="AF12" i="2"/>
  <c r="AG12" i="2"/>
  <c r="AH12" i="2"/>
  <c r="AI12" i="2"/>
  <c r="AJ12" i="2"/>
  <c r="AK12" i="2"/>
  <c r="AL12" i="2"/>
  <c r="AM12" i="2"/>
  <c r="AO12" i="2"/>
  <c r="AP12" i="2"/>
  <c r="AQ12" i="2"/>
  <c r="AR12" i="2"/>
  <c r="AS12" i="2"/>
  <c r="AT12" i="2"/>
  <c r="AU12" i="2"/>
  <c r="AV12" i="2"/>
  <c r="AW12" i="2"/>
  <c r="AX12" i="2"/>
  <c r="AY12" i="2"/>
  <c r="AZ12" i="2"/>
  <c r="BB12" i="2"/>
  <c r="BC12" i="2"/>
  <c r="BD12" i="2"/>
  <c r="BE12" i="2"/>
  <c r="BF12" i="2"/>
  <c r="BG12" i="2"/>
  <c r="BH12" i="2"/>
  <c r="BI12" i="2"/>
  <c r="BJ12" i="2"/>
  <c r="BK12" i="2"/>
  <c r="BL12" i="2"/>
  <c r="BM12" i="2"/>
  <c r="B13" i="2"/>
  <c r="C13" i="2"/>
  <c r="D13" i="2"/>
  <c r="E13" i="2"/>
  <c r="F13" i="2"/>
  <c r="G13" i="2"/>
  <c r="H13" i="2"/>
  <c r="I13" i="2"/>
  <c r="J13" i="2"/>
  <c r="K13" i="2"/>
  <c r="L13" i="2"/>
  <c r="M13" i="2"/>
  <c r="O13" i="2"/>
  <c r="P13" i="2"/>
  <c r="Q13" i="2"/>
  <c r="R13" i="2"/>
  <c r="S13" i="2"/>
  <c r="T13" i="2"/>
  <c r="U13" i="2"/>
  <c r="V13" i="2"/>
  <c r="W13" i="2"/>
  <c r="X13" i="2"/>
  <c r="Y13" i="2"/>
  <c r="Z13" i="2"/>
  <c r="AB13" i="2"/>
  <c r="AC13" i="2"/>
  <c r="AD13" i="2"/>
  <c r="AE13" i="2"/>
  <c r="AF13" i="2"/>
  <c r="AG13" i="2"/>
  <c r="AH13" i="2"/>
  <c r="AI13" i="2"/>
  <c r="AJ13" i="2"/>
  <c r="AK13" i="2"/>
  <c r="AL13" i="2"/>
  <c r="AM13" i="2"/>
  <c r="AO13" i="2"/>
  <c r="AP13" i="2"/>
  <c r="AQ13" i="2"/>
  <c r="AR13" i="2"/>
  <c r="AS13" i="2"/>
  <c r="AT13" i="2"/>
  <c r="AU13" i="2"/>
  <c r="AV13" i="2"/>
  <c r="AW13" i="2"/>
  <c r="AX13" i="2"/>
  <c r="AY13" i="2"/>
  <c r="AZ13" i="2"/>
  <c r="BB13" i="2"/>
  <c r="BC13" i="2"/>
  <c r="BD13" i="2"/>
  <c r="BE13" i="2"/>
  <c r="BF13" i="2"/>
  <c r="BG13" i="2"/>
  <c r="BH13" i="2"/>
  <c r="BI13" i="2"/>
  <c r="BJ13" i="2"/>
  <c r="BK13" i="2"/>
  <c r="BL13" i="2"/>
  <c r="BM13" i="2"/>
  <c r="B21" i="2"/>
  <c r="C21" i="2"/>
  <c r="D21" i="2"/>
  <c r="E21" i="2"/>
  <c r="F21" i="2"/>
  <c r="G21" i="2"/>
  <c r="H21" i="2"/>
  <c r="I21" i="2"/>
  <c r="J21" i="2"/>
  <c r="K21" i="2"/>
  <c r="L21" i="2"/>
  <c r="M21" i="2"/>
  <c r="O21" i="2"/>
  <c r="P21" i="2"/>
  <c r="Q21" i="2"/>
  <c r="R21" i="2"/>
  <c r="S21" i="2"/>
  <c r="T21" i="2"/>
  <c r="U21" i="2"/>
  <c r="V21" i="2"/>
  <c r="W21" i="2"/>
  <c r="X21" i="2"/>
  <c r="Y21" i="2"/>
  <c r="Z21" i="2"/>
  <c r="AB21" i="2"/>
  <c r="AC21" i="2"/>
  <c r="AD21" i="2"/>
  <c r="AE21" i="2"/>
  <c r="AF21" i="2"/>
  <c r="AG21" i="2"/>
  <c r="AH21" i="2"/>
  <c r="AI21" i="2"/>
  <c r="AJ21" i="2"/>
  <c r="AK21" i="2"/>
  <c r="AL21" i="2"/>
  <c r="AM21" i="2"/>
  <c r="AO21" i="2"/>
  <c r="AP21" i="2"/>
  <c r="AQ21" i="2"/>
  <c r="AR21" i="2"/>
  <c r="AS21" i="2"/>
  <c r="AT21" i="2"/>
  <c r="AU21" i="2"/>
  <c r="AV21" i="2"/>
  <c r="AW21" i="2"/>
  <c r="AX21" i="2"/>
  <c r="AY21" i="2"/>
  <c r="AZ21" i="2"/>
  <c r="BB21" i="2"/>
  <c r="BC21" i="2"/>
  <c r="BD21" i="2"/>
  <c r="BE21" i="2"/>
  <c r="BF21" i="2"/>
  <c r="BG21" i="2"/>
  <c r="BH21" i="2"/>
  <c r="BI21" i="2"/>
  <c r="BJ21" i="2"/>
  <c r="BK21" i="2"/>
  <c r="BL21" i="2"/>
  <c r="BM21" i="2"/>
  <c r="BO21" i="2"/>
  <c r="BP21" i="2"/>
  <c r="BQ21" i="2"/>
  <c r="BR21" i="2"/>
  <c r="BS21" i="2"/>
  <c r="BT21" i="2"/>
  <c r="BU21" i="2"/>
  <c r="BV21" i="2"/>
  <c r="BW21" i="2"/>
  <c r="BX21" i="2"/>
  <c r="BY21" i="2"/>
  <c r="BZ21" i="2"/>
  <c r="CB21" i="2"/>
  <c r="CC21" i="2"/>
  <c r="CD21" i="2"/>
  <c r="CE21" i="2"/>
  <c r="K22" i="2"/>
  <c r="AF26" i="2"/>
  <c r="B31" i="2"/>
  <c r="C31" i="2"/>
  <c r="D31" i="2"/>
  <c r="E31" i="2"/>
  <c r="F31" i="2"/>
  <c r="G31" i="2"/>
  <c r="H31" i="2"/>
  <c r="I31" i="2"/>
  <c r="J31" i="2"/>
  <c r="K31" i="2"/>
  <c r="L31" i="2"/>
  <c r="M31" i="2"/>
  <c r="O31" i="2"/>
  <c r="P31" i="2"/>
  <c r="Q31" i="2"/>
  <c r="R31" i="2"/>
  <c r="S31" i="2"/>
  <c r="T31" i="2"/>
  <c r="U31" i="2"/>
  <c r="V31" i="2"/>
  <c r="W31" i="2"/>
  <c r="X31" i="2"/>
  <c r="Y31" i="2"/>
  <c r="Z31" i="2"/>
  <c r="AB31" i="2"/>
  <c r="AC31" i="2"/>
  <c r="AD31" i="2"/>
  <c r="AE31" i="2"/>
  <c r="AF31" i="2"/>
  <c r="AG31" i="2"/>
  <c r="AH31" i="2"/>
  <c r="AI31" i="2"/>
  <c r="AJ31" i="2"/>
  <c r="AK31" i="2"/>
  <c r="AL31" i="2"/>
  <c r="AM31" i="2"/>
  <c r="AO31" i="2"/>
  <c r="AP31" i="2"/>
  <c r="AQ31" i="2"/>
  <c r="AR31" i="2"/>
  <c r="AS31" i="2"/>
  <c r="AT31" i="2"/>
  <c r="AU31" i="2"/>
  <c r="AV31" i="2"/>
  <c r="AW31" i="2"/>
  <c r="AX31" i="2"/>
  <c r="AY31" i="2"/>
  <c r="AZ31" i="2"/>
  <c r="BB31" i="2"/>
  <c r="BC31" i="2"/>
  <c r="BD31" i="2"/>
  <c r="BE31" i="2"/>
  <c r="BF31" i="2"/>
  <c r="BG31" i="2"/>
  <c r="BH31" i="2"/>
  <c r="BI31" i="2"/>
  <c r="BJ31" i="2"/>
  <c r="BK31" i="2"/>
  <c r="BL31" i="2"/>
  <c r="BM31" i="2"/>
  <c r="BO31" i="2"/>
  <c r="BP31" i="2"/>
  <c r="BQ31" i="2"/>
  <c r="BR31" i="2"/>
  <c r="BS31" i="2"/>
  <c r="BT31" i="2"/>
  <c r="BU31" i="2"/>
  <c r="BV31" i="2"/>
  <c r="BW31" i="2"/>
  <c r="BX31" i="2"/>
  <c r="BY31" i="2"/>
  <c r="BZ31" i="2"/>
  <c r="CB31" i="2"/>
  <c r="CC31" i="2"/>
  <c r="CD31" i="2"/>
  <c r="AO34" i="2"/>
  <c r="AP34" i="2"/>
  <c r="AQ34" i="2"/>
  <c r="AR34" i="2"/>
  <c r="AS34" i="2"/>
  <c r="AT34" i="2"/>
  <c r="AU34" i="2"/>
  <c r="AV34" i="2"/>
  <c r="AW34" i="2"/>
  <c r="AX34" i="2"/>
  <c r="AY34" i="2"/>
  <c r="AZ34" i="2"/>
  <c r="BB34" i="2"/>
  <c r="BC34" i="2"/>
  <c r="BD34" i="2"/>
  <c r="BE34" i="2"/>
  <c r="BF34" i="2"/>
  <c r="BG34" i="2"/>
  <c r="BH34" i="2"/>
  <c r="BI34" i="2"/>
  <c r="BJ34" i="2"/>
  <c r="BK34" i="2"/>
  <c r="BL34" i="2"/>
  <c r="BM34" i="2"/>
  <c r="BO34" i="2"/>
  <c r="BP34" i="2"/>
  <c r="BQ34" i="2"/>
  <c r="BR34" i="2"/>
  <c r="BS34" i="2"/>
  <c r="BT34" i="2"/>
  <c r="BU34" i="2"/>
  <c r="BV34" i="2"/>
  <c r="BW34" i="2"/>
  <c r="BX34" i="2"/>
  <c r="BY34" i="2"/>
  <c r="BZ34" i="2"/>
  <c r="CB34" i="2"/>
  <c r="CC34" i="2"/>
  <c r="CD34" i="2"/>
  <c r="AB9" i="1"/>
  <c r="AO9" i="1"/>
  <c r="BB9" i="1"/>
  <c r="BC9" i="1" s="1"/>
  <c r="N10" i="1"/>
  <c r="O10" i="1"/>
  <c r="P10" i="1"/>
  <c r="Q10" i="1"/>
  <c r="R10" i="1"/>
  <c r="S10" i="1"/>
  <c r="T10" i="1"/>
  <c r="U10" i="1"/>
  <c r="V10" i="1"/>
  <c r="W10" i="1"/>
  <c r="X10" i="1"/>
  <c r="Y10" i="1"/>
  <c r="P12" i="1"/>
  <c r="S12" i="1"/>
  <c r="V12" i="1"/>
  <c r="Y12" i="1"/>
  <c r="AC12" i="1"/>
  <c r="AF12" i="1"/>
  <c r="AI12" i="1"/>
  <c r="AL12" i="1"/>
  <c r="AP12" i="1"/>
  <c r="AS12" i="1"/>
  <c r="AV12" i="1"/>
  <c r="AY12" i="1"/>
  <c r="BC12" i="1"/>
  <c r="BF12" i="1"/>
  <c r="BI12" i="1"/>
  <c r="BL12" i="1"/>
  <c r="BP12" i="1"/>
  <c r="BS12" i="1"/>
  <c r="BV12" i="1"/>
  <c r="BY12" i="1"/>
  <c r="CC12" i="1"/>
  <c r="CF12" i="1"/>
  <c r="CI12" i="1"/>
  <c r="CL12" i="1"/>
  <c r="CP12" i="1"/>
  <c r="O21" i="1"/>
  <c r="AB21" i="1"/>
  <c r="AC21" i="1" s="1"/>
  <c r="AO21" i="1"/>
  <c r="BB21" i="1"/>
  <c r="BC21" i="1" s="1"/>
  <c r="BO21" i="1"/>
  <c r="BW21" i="1"/>
  <c r="BA22" i="1"/>
  <c r="BB22" i="1"/>
  <c r="BC22" i="1"/>
  <c r="BD22" i="1"/>
  <c r="BE22" i="1"/>
  <c r="BF22" i="1"/>
  <c r="BG22" i="1"/>
  <c r="P23" i="1"/>
  <c r="Q23" i="1"/>
  <c r="R23" i="1"/>
  <c r="S23" i="1"/>
  <c r="T23" i="1"/>
  <c r="U23" i="1"/>
  <c r="V23" i="1"/>
  <c r="W23" i="1"/>
  <c r="X23" i="1"/>
  <c r="Y23" i="1"/>
  <c r="AA23" i="1"/>
  <c r="AB23" i="1"/>
  <c r="AC23" i="1"/>
  <c r="AD23" i="1"/>
  <c r="AE23" i="1"/>
  <c r="AF23" i="1"/>
  <c r="AG23" i="1"/>
  <c r="AH23" i="1"/>
  <c r="AI23" i="1"/>
  <c r="AJ23" i="1"/>
  <c r="AK23" i="1"/>
  <c r="AL23" i="1"/>
  <c r="AN23" i="1"/>
  <c r="AO23" i="1"/>
  <c r="AP23" i="1"/>
  <c r="AQ23" i="1"/>
  <c r="AR23" i="1"/>
  <c r="AS23" i="1"/>
  <c r="AT23" i="1"/>
  <c r="AU23" i="1"/>
  <c r="AV23" i="1"/>
  <c r="AW23" i="1"/>
  <c r="AX23" i="1"/>
  <c r="AY23" i="1"/>
  <c r="BA23" i="1"/>
  <c r="BB23" i="1"/>
  <c r="BC23" i="1"/>
  <c r="BD23" i="1"/>
  <c r="BE23" i="1"/>
  <c r="BF23" i="1"/>
  <c r="BG23" i="1"/>
  <c r="BH23" i="1"/>
  <c r="BI23" i="1"/>
  <c r="BJ23" i="1"/>
  <c r="BK23" i="1"/>
  <c r="BL23" i="1"/>
  <c r="BN23" i="1"/>
  <c r="BO23" i="1"/>
  <c r="BP23" i="1"/>
  <c r="BQ23" i="1"/>
  <c r="BR23" i="1"/>
  <c r="BS23" i="1"/>
  <c r="BT23" i="1"/>
  <c r="BU23" i="1"/>
  <c r="BV23" i="1"/>
  <c r="BW23" i="1"/>
  <c r="BX23" i="1"/>
  <c r="BY23" i="1"/>
  <c r="CA23" i="1"/>
  <c r="CB23" i="1"/>
  <c r="CC23" i="1"/>
  <c r="CD23" i="1"/>
  <c r="CE23" i="1"/>
  <c r="CF23" i="1"/>
  <c r="CG23" i="1"/>
  <c r="CH23" i="1"/>
  <c r="CI23" i="1"/>
  <c r="CJ23" i="1"/>
  <c r="CK23" i="1"/>
  <c r="CL23" i="1"/>
  <c r="CN23" i="1"/>
  <c r="CO23" i="1"/>
  <c r="CP23" i="1"/>
  <c r="P24" i="1"/>
  <c r="Q24" i="1"/>
  <c r="R24" i="1"/>
  <c r="S24" i="1"/>
  <c r="T24" i="1"/>
  <c r="U24" i="1"/>
  <c r="V24" i="1"/>
  <c r="W24" i="1"/>
  <c r="X24" i="1"/>
  <c r="Y24" i="1"/>
  <c r="AA24" i="1"/>
  <c r="AB24" i="1"/>
  <c r="AC24" i="1"/>
  <c r="AD24" i="1"/>
  <c r="AE24" i="1"/>
  <c r="AF24" i="1"/>
  <c r="AG24" i="1"/>
  <c r="AH24" i="1"/>
  <c r="AI24" i="1"/>
  <c r="AJ24" i="1"/>
  <c r="AK24" i="1"/>
  <c r="AL24" i="1"/>
  <c r="AN24" i="1"/>
  <c r="AO24" i="1"/>
  <c r="AP24" i="1"/>
  <c r="AQ24" i="1"/>
  <c r="AR24" i="1"/>
  <c r="AS24" i="1"/>
  <c r="AT24" i="1"/>
  <c r="AU24" i="1"/>
  <c r="AV24" i="1"/>
  <c r="AW24" i="1"/>
  <c r="AX24" i="1"/>
  <c r="AY24" i="1"/>
  <c r="BA24" i="1"/>
  <c r="BB24" i="1"/>
  <c r="BC24" i="1"/>
  <c r="BD24" i="1"/>
  <c r="BE24" i="1"/>
  <c r="BF24" i="1"/>
  <c r="BG24" i="1"/>
  <c r="BH24" i="1"/>
  <c r="BI24" i="1"/>
  <c r="BJ24" i="1"/>
  <c r="BK24" i="1"/>
  <c r="BL24" i="1"/>
  <c r="BN24" i="1"/>
  <c r="BO24" i="1"/>
  <c r="BP24" i="1"/>
  <c r="BQ24" i="1"/>
  <c r="BR24" i="1"/>
  <c r="BS24" i="1"/>
  <c r="BT24" i="1"/>
  <c r="BU24" i="1"/>
  <c r="BV24" i="1"/>
  <c r="BW24" i="1"/>
  <c r="BX24" i="1"/>
  <c r="BY24" i="1"/>
  <c r="CA24" i="1"/>
  <c r="CB24" i="1"/>
  <c r="CC24" i="1"/>
  <c r="CD24" i="1"/>
  <c r="CE24" i="1"/>
  <c r="CF24" i="1"/>
  <c r="CG24" i="1"/>
  <c r="CH24" i="1"/>
  <c r="CI24" i="1"/>
  <c r="CJ24" i="1"/>
  <c r="CK24" i="1"/>
  <c r="CL24" i="1"/>
  <c r="CN24" i="1"/>
  <c r="CO24" i="1"/>
  <c r="CP24" i="1"/>
  <c r="P25" i="1"/>
  <c r="Q25" i="1"/>
  <c r="R25" i="1"/>
  <c r="S25" i="1"/>
  <c r="T25" i="1"/>
  <c r="U25" i="1"/>
  <c r="V25" i="1"/>
  <c r="W25" i="1"/>
  <c r="X25" i="1"/>
  <c r="Y25" i="1"/>
  <c r="AA25" i="1"/>
  <c r="AB25" i="1"/>
  <c r="AC25" i="1"/>
  <c r="AD25" i="1"/>
  <c r="AE25" i="1"/>
  <c r="AF25" i="1"/>
  <c r="AG25" i="1"/>
  <c r="AH25" i="1"/>
  <c r="AI25" i="1"/>
  <c r="AJ25" i="1"/>
  <c r="AK25" i="1"/>
  <c r="AL25" i="1"/>
  <c r="AN25" i="1"/>
  <c r="AO25" i="1"/>
  <c r="AP25" i="1"/>
  <c r="AQ25" i="1"/>
  <c r="AR25" i="1"/>
  <c r="AS25" i="1"/>
  <c r="AT25" i="1"/>
  <c r="AU25" i="1"/>
  <c r="AV25" i="1"/>
  <c r="AW25" i="1"/>
  <c r="AX25" i="1"/>
  <c r="AY25" i="1"/>
  <c r="BA25" i="1"/>
  <c r="BB25" i="1"/>
  <c r="BC25" i="1"/>
  <c r="BD25" i="1"/>
  <c r="BE25" i="1"/>
  <c r="BF25" i="1"/>
  <c r="BG25" i="1"/>
  <c r="BH25" i="1"/>
  <c r="BI25" i="1"/>
  <c r="BJ25" i="1"/>
  <c r="BK25" i="1"/>
  <c r="BL25" i="1"/>
  <c r="BN25" i="1"/>
  <c r="BO25" i="1"/>
  <c r="BP25" i="1"/>
  <c r="BQ25" i="1"/>
  <c r="BR25" i="1"/>
  <c r="BS25" i="1"/>
  <c r="BT25" i="1"/>
  <c r="BU25" i="1"/>
  <c r="BV25" i="1"/>
  <c r="BW25" i="1"/>
  <c r="BX25" i="1"/>
  <c r="BY25" i="1"/>
  <c r="CA25" i="1"/>
  <c r="CB25" i="1"/>
  <c r="CC25" i="1"/>
  <c r="CD25" i="1"/>
  <c r="CE25" i="1"/>
  <c r="CF25" i="1"/>
  <c r="CG25" i="1"/>
  <c r="CH25" i="1"/>
  <c r="CI25" i="1"/>
  <c r="CJ25" i="1"/>
  <c r="CK25" i="1"/>
  <c r="CL25" i="1"/>
  <c r="CN25" i="1"/>
  <c r="CO25" i="1"/>
  <c r="CP25" i="1"/>
  <c r="N34" i="1"/>
  <c r="O34" i="1"/>
  <c r="P34" i="1"/>
  <c r="Q34" i="1"/>
  <c r="R34" i="1"/>
  <c r="S34" i="1"/>
  <c r="T34" i="1"/>
  <c r="U34" i="1"/>
  <c r="V34" i="1"/>
  <c r="W34" i="1"/>
  <c r="X34" i="1"/>
  <c r="Y34" i="1"/>
  <c r="AA34" i="1"/>
  <c r="AB34" i="1"/>
  <c r="AC34" i="1"/>
  <c r="AD34" i="1"/>
  <c r="AE34" i="1"/>
  <c r="AF34" i="1"/>
  <c r="AG34" i="1"/>
  <c r="AH34" i="1"/>
  <c r="AI34" i="1"/>
  <c r="AJ34" i="1"/>
  <c r="AK34" i="1"/>
  <c r="AL34" i="1"/>
  <c r="AN34" i="1"/>
  <c r="AO34" i="1"/>
  <c r="AP34" i="1"/>
  <c r="AQ34" i="1"/>
  <c r="AR34" i="1"/>
  <c r="AS34" i="1"/>
  <c r="AT34" i="1"/>
  <c r="AU34" i="1"/>
  <c r="AV34" i="1"/>
  <c r="AW34" i="1"/>
  <c r="AX34" i="1"/>
  <c r="AY34" i="1"/>
  <c r="BA34" i="1"/>
  <c r="BB34" i="1"/>
  <c r="BC34" i="1"/>
  <c r="BD34" i="1"/>
  <c r="BE34" i="1"/>
  <c r="BF34" i="1"/>
  <c r="BG34" i="1"/>
  <c r="BH34" i="1"/>
  <c r="BI34" i="1"/>
  <c r="BJ34" i="1"/>
  <c r="BK34" i="1"/>
  <c r="BL34" i="1"/>
  <c r="BN34" i="1"/>
  <c r="BO34" i="1"/>
  <c r="BP34" i="1"/>
  <c r="BQ34" i="1"/>
  <c r="BR34" i="1"/>
  <c r="BS34" i="1"/>
  <c r="BT34" i="1"/>
  <c r="BU34" i="1"/>
  <c r="BV34" i="1"/>
  <c r="BW34" i="1"/>
  <c r="BX34" i="1"/>
  <c r="BY34" i="1"/>
  <c r="CA34" i="1"/>
  <c r="CB34" i="1"/>
  <c r="CC34" i="1"/>
  <c r="CD34" i="1"/>
  <c r="CE34" i="1"/>
  <c r="CF34" i="1"/>
  <c r="CG34" i="1"/>
  <c r="CH34" i="1"/>
  <c r="CI34" i="1"/>
  <c r="CJ34" i="1"/>
  <c r="CK34" i="1"/>
  <c r="CL34" i="1"/>
  <c r="CN34" i="1"/>
  <c r="CO34" i="1"/>
  <c r="CP34" i="1"/>
  <c r="N35" i="1"/>
  <c r="O35" i="1"/>
  <c r="P35" i="1"/>
  <c r="Q35" i="1"/>
  <c r="R35" i="1"/>
  <c r="S35" i="1"/>
  <c r="T35" i="1"/>
  <c r="U35" i="1"/>
  <c r="V35" i="1"/>
  <c r="W35" i="1"/>
  <c r="X35" i="1"/>
  <c r="Y35" i="1"/>
  <c r="AA35" i="1"/>
  <c r="AB35" i="1"/>
  <c r="AC35" i="1"/>
  <c r="AD35" i="1"/>
  <c r="AE35" i="1"/>
  <c r="AF35" i="1"/>
  <c r="AG35" i="1"/>
  <c r="AH35" i="1"/>
  <c r="AI35" i="1"/>
  <c r="AJ35" i="1"/>
  <c r="AK35" i="1"/>
  <c r="AL35" i="1"/>
  <c r="AN35" i="1"/>
  <c r="AO35" i="1"/>
  <c r="AP35" i="1"/>
  <c r="AQ35" i="1"/>
  <c r="AR35" i="1"/>
  <c r="AS35" i="1"/>
  <c r="AT35" i="1"/>
  <c r="AU35" i="1"/>
  <c r="AV35" i="1"/>
  <c r="AW35" i="1"/>
  <c r="AX35" i="1"/>
  <c r="AY35" i="1"/>
  <c r="BA35" i="1"/>
  <c r="BB35" i="1"/>
  <c r="BC35" i="1"/>
  <c r="BD35" i="1"/>
  <c r="BE35" i="1"/>
  <c r="BF35" i="1"/>
  <c r="BG35" i="1"/>
  <c r="BH35" i="1"/>
  <c r="BI35" i="1"/>
  <c r="BJ35" i="1"/>
  <c r="BK35" i="1"/>
  <c r="BL35" i="1"/>
  <c r="BN35" i="1"/>
  <c r="BO35" i="1"/>
  <c r="BP35" i="1"/>
  <c r="BQ35" i="1"/>
  <c r="BR35" i="1"/>
  <c r="BS35" i="1"/>
  <c r="BT35" i="1"/>
  <c r="BU35" i="1"/>
  <c r="BV35" i="1"/>
  <c r="BW35" i="1"/>
  <c r="BX35" i="1"/>
  <c r="BY35" i="1"/>
  <c r="CA35" i="1"/>
  <c r="CB35" i="1"/>
  <c r="CC35" i="1"/>
  <c r="CD35" i="1"/>
  <c r="CE35" i="1"/>
  <c r="CF35" i="1"/>
  <c r="CG35" i="1"/>
  <c r="CH35" i="1"/>
  <c r="CI35" i="1"/>
  <c r="CJ35" i="1"/>
  <c r="CK35" i="1"/>
  <c r="CL35" i="1"/>
  <c r="CN35" i="1"/>
  <c r="CO35" i="1"/>
  <c r="CP35" i="1"/>
  <c r="N36" i="1"/>
  <c r="O36" i="1"/>
  <c r="P36" i="1"/>
  <c r="Q36" i="1"/>
  <c r="R36" i="1"/>
  <c r="S36" i="1"/>
  <c r="T36" i="1"/>
  <c r="U36" i="1"/>
  <c r="V36" i="1"/>
  <c r="W36" i="1"/>
  <c r="X36" i="1"/>
  <c r="Y36" i="1"/>
  <c r="AA36" i="1"/>
  <c r="AB36" i="1"/>
  <c r="AC36" i="1"/>
  <c r="AD36" i="1"/>
  <c r="AE36" i="1"/>
  <c r="AF36" i="1"/>
  <c r="AG36" i="1"/>
  <c r="AH36" i="1"/>
  <c r="AI36" i="1"/>
  <c r="AJ36" i="1"/>
  <c r="AK36" i="1"/>
  <c r="AL36" i="1"/>
  <c r="AN36" i="1"/>
  <c r="AO36" i="1"/>
  <c r="AP36" i="1"/>
  <c r="AQ36" i="1"/>
  <c r="AR36" i="1"/>
  <c r="AS36" i="1"/>
  <c r="AT36" i="1"/>
  <c r="AU36" i="1"/>
  <c r="AV36" i="1"/>
  <c r="AW36" i="1"/>
  <c r="AX36" i="1"/>
  <c r="AY36" i="1"/>
  <c r="BA36" i="1"/>
  <c r="BB36" i="1"/>
  <c r="BC36" i="1"/>
  <c r="BD36" i="1"/>
  <c r="BE36" i="1"/>
  <c r="BF36" i="1"/>
  <c r="BG36" i="1"/>
  <c r="BH36" i="1"/>
  <c r="BI36" i="1"/>
  <c r="BJ36" i="1"/>
  <c r="BK36" i="1"/>
  <c r="BL36" i="1"/>
  <c r="BN36" i="1"/>
  <c r="BO36" i="1"/>
  <c r="BP36" i="1"/>
  <c r="BQ36" i="1"/>
  <c r="BR36" i="1"/>
  <c r="BS36" i="1"/>
  <c r="BT36" i="1"/>
  <c r="BU36" i="1"/>
  <c r="BV36" i="1"/>
  <c r="BW36" i="1"/>
  <c r="BX36" i="1"/>
  <c r="BY36" i="1"/>
  <c r="CA36" i="1"/>
  <c r="CB36" i="1"/>
  <c r="CC36" i="1"/>
  <c r="CD36" i="1"/>
  <c r="CE36" i="1"/>
  <c r="CF36" i="1"/>
  <c r="CG36" i="1"/>
  <c r="CH36" i="1"/>
  <c r="CI36" i="1"/>
  <c r="CJ36" i="1"/>
  <c r="CK36" i="1"/>
  <c r="CL36" i="1"/>
  <c r="CN36" i="1"/>
  <c r="CO36" i="1"/>
  <c r="CP36" i="1"/>
  <c r="AA38" i="1"/>
  <c r="AB38" i="1"/>
  <c r="AC38" i="1"/>
  <c r="AD38" i="1"/>
  <c r="AE38" i="1"/>
  <c r="AF38" i="1"/>
  <c r="AG38" i="1"/>
  <c r="AH38" i="1"/>
  <c r="AI38" i="1"/>
  <c r="AJ38" i="1"/>
  <c r="AK38" i="1"/>
  <c r="AL38" i="1"/>
  <c r="AN38" i="1"/>
  <c r="AO38" i="1"/>
  <c r="AP38" i="1"/>
  <c r="AQ38" i="1"/>
  <c r="AR38" i="1"/>
  <c r="AS38" i="1"/>
  <c r="AT38" i="1"/>
  <c r="AU38" i="1"/>
  <c r="AV38" i="1"/>
  <c r="AW38" i="1"/>
  <c r="AX38" i="1"/>
  <c r="AY38" i="1"/>
  <c r="BA38" i="1"/>
  <c r="BB38" i="1"/>
  <c r="BC38" i="1"/>
  <c r="BD38" i="1"/>
  <c r="BE38" i="1"/>
  <c r="BF38" i="1"/>
  <c r="BG38" i="1"/>
  <c r="BH38" i="1"/>
  <c r="BI38" i="1"/>
  <c r="BJ38" i="1"/>
  <c r="BK38" i="1"/>
  <c r="BL38" i="1"/>
  <c r="BN38" i="1"/>
  <c r="BO38" i="1"/>
  <c r="BP38" i="1"/>
  <c r="BQ38" i="1"/>
  <c r="BR38" i="1"/>
  <c r="BS38" i="1"/>
  <c r="BT38" i="1"/>
  <c r="BU38" i="1"/>
  <c r="BV38" i="1"/>
  <c r="BW38" i="1"/>
  <c r="BX38" i="1"/>
  <c r="BY38" i="1"/>
  <c r="CA38" i="1"/>
  <c r="CB38" i="1"/>
  <c r="CC38" i="1"/>
  <c r="CD38" i="1"/>
  <c r="CE38" i="1"/>
  <c r="CF38" i="1"/>
  <c r="CG38" i="1"/>
  <c r="CH38" i="1"/>
  <c r="CI38" i="1"/>
  <c r="CJ38" i="1"/>
  <c r="CK38" i="1"/>
  <c r="CL38" i="1"/>
  <c r="CN38" i="1"/>
  <c r="CO38" i="1"/>
  <c r="CP38" i="1"/>
  <c r="CQ38" i="1"/>
  <c r="CR38" i="1"/>
  <c r="AA39" i="1"/>
  <c r="AB39" i="1"/>
  <c r="AC39" i="1"/>
  <c r="AD39" i="1"/>
  <c r="AE39" i="1"/>
  <c r="AF39" i="1"/>
  <c r="AG39" i="1"/>
  <c r="AH39" i="1"/>
  <c r="AI39" i="1"/>
  <c r="AJ39" i="1"/>
  <c r="AK39" i="1"/>
  <c r="AL39" i="1"/>
  <c r="AN39" i="1"/>
  <c r="AO39" i="1"/>
  <c r="AP39" i="1"/>
  <c r="AQ39" i="1"/>
  <c r="AR39" i="1"/>
  <c r="AS39" i="1"/>
  <c r="AT39" i="1"/>
  <c r="AU39" i="1"/>
  <c r="AV39" i="1"/>
  <c r="AW39" i="1"/>
  <c r="AX39" i="1"/>
  <c r="AY39" i="1"/>
  <c r="BA39" i="1"/>
  <c r="BB39" i="1"/>
  <c r="BC39" i="1"/>
  <c r="BD39" i="1"/>
  <c r="BE39" i="1"/>
  <c r="BF39" i="1"/>
  <c r="BG39" i="1"/>
  <c r="BH39" i="1"/>
  <c r="BI39" i="1"/>
  <c r="BJ39" i="1"/>
  <c r="BK39" i="1"/>
  <c r="BL39" i="1"/>
  <c r="BN39" i="1"/>
  <c r="BO39" i="1"/>
  <c r="BP39" i="1"/>
  <c r="BQ39" i="1"/>
  <c r="BR39" i="1"/>
  <c r="BS39" i="1"/>
  <c r="BT39" i="1"/>
  <c r="BU39" i="1"/>
  <c r="BV39" i="1"/>
  <c r="BW39" i="1"/>
  <c r="BX39" i="1"/>
  <c r="BY39" i="1"/>
  <c r="CA39" i="1"/>
  <c r="CB39" i="1"/>
  <c r="CC39" i="1"/>
  <c r="CD39" i="1"/>
  <c r="CE39" i="1"/>
  <c r="CF39" i="1"/>
  <c r="CG39" i="1"/>
  <c r="CH39" i="1"/>
  <c r="CI39" i="1"/>
  <c r="CJ39" i="1"/>
  <c r="CK39" i="1"/>
  <c r="CL39" i="1"/>
  <c r="CN39" i="1"/>
  <c r="CO39" i="1"/>
  <c r="CP39" i="1"/>
  <c r="CQ39" i="1"/>
  <c r="CR39" i="1"/>
  <c r="BG44" i="1"/>
  <c r="BH44" i="1"/>
  <c r="BI44" i="1"/>
  <c r="BL44" i="1"/>
  <c r="BN46" i="1"/>
  <c r="BP46" i="1"/>
  <c r="BN47" i="1"/>
  <c r="BO47" i="1"/>
  <c r="BP47" i="1"/>
  <c r="BR47" i="1"/>
  <c r="BS47" i="1"/>
  <c r="BT47" i="1"/>
  <c r="BP49" i="1"/>
  <c r="AP9" i="1" l="1"/>
  <c r="AW14" i="8"/>
  <c r="AS14" i="8"/>
  <c r="AJ14" i="8"/>
  <c r="AF14" i="8"/>
  <c r="AN10" i="1"/>
  <c r="AZ14" i="8"/>
  <c r="AV14" i="8"/>
  <c r="AR14" i="8"/>
  <c r="AM14" i="8"/>
  <c r="AI14" i="8"/>
  <c r="Z38" i="3"/>
  <c r="W38" i="3"/>
  <c r="X38" i="3"/>
  <c r="Y38" i="3"/>
  <c r="AM38" i="3"/>
  <c r="AI38" i="3"/>
  <c r="AE38" i="3"/>
  <c r="AJ38" i="3"/>
  <c r="AF38" i="3"/>
  <c r="AB38" i="3"/>
  <c r="AK38" i="3"/>
  <c r="AG38" i="3"/>
  <c r="AC38" i="3"/>
  <c r="AL38" i="3"/>
  <c r="AH38" i="3"/>
  <c r="AD38" i="3"/>
  <c r="M38" i="3"/>
  <c r="I38" i="3"/>
  <c r="E38" i="3"/>
  <c r="J38" i="3"/>
  <c r="F38" i="3"/>
  <c r="B38" i="3"/>
  <c r="K38" i="3"/>
  <c r="G38" i="3"/>
  <c r="C38" i="3"/>
  <c r="L38" i="3"/>
  <c r="H38" i="3"/>
  <c r="D38" i="3"/>
  <c r="BZ38" i="3"/>
  <c r="BV38" i="3"/>
  <c r="BR38" i="3"/>
  <c r="BW38" i="3"/>
  <c r="BS38" i="3"/>
  <c r="BO38" i="3"/>
  <c r="BX38" i="3"/>
  <c r="BT38" i="3"/>
  <c r="BP38" i="3"/>
  <c r="BY38" i="3"/>
  <c r="BU38" i="3"/>
  <c r="BQ38" i="3"/>
  <c r="CX12" i="8"/>
  <c r="CY12" i="8"/>
  <c r="CZ12" i="8"/>
  <c r="CW12" i="8"/>
  <c r="CV12" i="8"/>
  <c r="CU12" i="8"/>
  <c r="BD26" i="8"/>
  <c r="CS12" i="8"/>
  <c r="CR12" i="8"/>
  <c r="CT12" i="8"/>
  <c r="BB17" i="8"/>
  <c r="AP17" i="8"/>
  <c r="O17" i="8"/>
  <c r="CQ12" i="8"/>
  <c r="CO12" i="8"/>
  <c r="CP12" i="8"/>
  <c r="AS17" i="8"/>
  <c r="BQ27" i="8"/>
  <c r="AA10" i="1"/>
  <c r="AD21" i="1"/>
  <c r="AE21" i="1" s="1"/>
  <c r="BB10" i="1"/>
  <c r="BC10" i="1"/>
  <c r="BD9" i="1"/>
  <c r="BH22" i="1"/>
  <c r="BI22" i="1" s="1"/>
  <c r="BJ22" i="1" s="1"/>
  <c r="P21" i="1"/>
  <c r="Q21" i="1" s="1"/>
  <c r="BA10" i="1"/>
  <c r="BD21" i="1"/>
  <c r="AP21" i="1"/>
  <c r="AC9" i="1"/>
  <c r="AB10" i="1" s="1"/>
  <c r="BE9" i="1"/>
  <c r="AD27" i="8"/>
  <c r="CC45" i="8"/>
  <c r="BP12" i="8"/>
  <c r="AJ17" i="8"/>
  <c r="AV17" i="8"/>
  <c r="CB17" i="8"/>
  <c r="P17" i="8"/>
  <c r="AB17" i="8"/>
  <c r="CB12" i="8"/>
  <c r="CG12" i="8"/>
  <c r="BQ12" i="8"/>
  <c r="CB45" i="8"/>
  <c r="W17" i="8"/>
  <c r="BY17" i="8"/>
  <c r="AQ45" i="8"/>
  <c r="D32" i="8"/>
  <c r="D22" i="8"/>
  <c r="AT47" i="8"/>
  <c r="AT32" i="8" s="1"/>
  <c r="T47" i="8"/>
  <c r="T32" i="8" s="1"/>
  <c r="BQ22" i="8"/>
  <c r="BQ26" i="8"/>
  <c r="BT47" i="8"/>
  <c r="BT27" i="8" s="1"/>
  <c r="AQ30" i="8"/>
  <c r="AQ27" i="8"/>
  <c r="AQ29" i="8"/>
  <c r="AQ22" i="8"/>
  <c r="AQ25" i="8"/>
  <c r="AQ26" i="8"/>
  <c r="CD26" i="8"/>
  <c r="AQ24" i="8"/>
  <c r="CD24" i="8"/>
  <c r="D30" i="8"/>
  <c r="D27" i="8"/>
  <c r="D25" i="8"/>
  <c r="D29" i="8"/>
  <c r="D26" i="8"/>
  <c r="AQ23" i="8"/>
  <c r="D23" i="8"/>
  <c r="G47" i="8"/>
  <c r="J47" i="8" s="1"/>
  <c r="Z17" i="8"/>
  <c r="BD17" i="8"/>
  <c r="BL17" i="8"/>
  <c r="Q17" i="8"/>
  <c r="BS17" i="8"/>
  <c r="AD17" i="8"/>
  <c r="CJ12" i="8"/>
  <c r="AO17" i="8"/>
  <c r="CD12" i="8"/>
  <c r="BX17" i="8"/>
  <c r="CF12" i="8"/>
  <c r="BS12" i="8"/>
  <c r="BT12" i="8"/>
  <c r="BP17" i="8"/>
  <c r="AW17" i="8"/>
  <c r="AH17" i="8"/>
  <c r="CL12" i="8"/>
  <c r="BW12" i="8"/>
  <c r="Q29" i="8"/>
  <c r="Q27" i="8"/>
  <c r="Q32" i="8"/>
  <c r="Q25" i="8"/>
  <c r="Q30" i="8"/>
  <c r="Q24" i="8"/>
  <c r="Q23" i="8"/>
  <c r="Q26" i="8"/>
  <c r="D31" i="8"/>
  <c r="CF17" i="8"/>
  <c r="CK17" i="8"/>
  <c r="BQ17" i="8"/>
  <c r="AG17" i="8"/>
  <c r="AM17" i="8"/>
  <c r="CC17" i="8"/>
  <c r="AQ28" i="8"/>
  <c r="BF17" i="8"/>
  <c r="AU17" i="8"/>
  <c r="BT17" i="8"/>
  <c r="AC17" i="8"/>
  <c r="BU12" i="8"/>
  <c r="AT17" i="8"/>
  <c r="CI17" i="8"/>
  <c r="AK17" i="8"/>
  <c r="BV17" i="8"/>
  <c r="AF17" i="8"/>
  <c r="CH12" i="8"/>
  <c r="U17" i="8"/>
  <c r="BQ23" i="8"/>
  <c r="R17" i="8"/>
  <c r="CL17" i="8"/>
  <c r="AY17" i="8"/>
  <c r="AL17" i="8"/>
  <c r="BO17" i="8"/>
  <c r="AR17" i="8"/>
  <c r="CH17" i="8"/>
  <c r="AP45" i="8"/>
  <c r="AC45" i="8"/>
  <c r="AD31" i="8" s="1"/>
  <c r="Q45" i="8"/>
  <c r="Q31" i="8" s="1"/>
  <c r="AI17" i="8"/>
  <c r="BZ12" i="8"/>
  <c r="BR17" i="8"/>
  <c r="Y17" i="8"/>
  <c r="AX17" i="8"/>
  <c r="BY12" i="8"/>
  <c r="CK12" i="8"/>
  <c r="CG17" i="8"/>
  <c r="Q28" i="8"/>
  <c r="BR12" i="8"/>
  <c r="D28" i="8"/>
  <c r="BU17" i="8"/>
  <c r="BW17" i="8"/>
  <c r="T17" i="8"/>
  <c r="BG17" i="8"/>
  <c r="X17" i="8"/>
  <c r="CE12" i="8"/>
  <c r="AQ17" i="8"/>
  <c r="BK17" i="8"/>
  <c r="BO45" i="8"/>
  <c r="BZ17" i="8"/>
  <c r="CD17" i="8"/>
  <c r="CM12" i="8"/>
  <c r="BJ17" i="8"/>
  <c r="BM17" i="8"/>
  <c r="BH17" i="8"/>
  <c r="BI17" i="8"/>
  <c r="CE17" i="8"/>
  <c r="S17" i="8"/>
  <c r="BE17" i="8"/>
  <c r="AE17" i="8"/>
  <c r="CI12" i="8"/>
  <c r="CJ17" i="8"/>
  <c r="BC17" i="8"/>
  <c r="V17" i="8"/>
  <c r="CC12" i="8"/>
  <c r="BX12" i="8"/>
  <c r="BV12" i="8"/>
  <c r="AZ17" i="8"/>
  <c r="CM17" i="8"/>
  <c r="CE45" i="8"/>
  <c r="BQ28" i="8"/>
  <c r="BQ32" i="8"/>
  <c r="BQ30" i="8"/>
  <c r="BQ29" i="8"/>
  <c r="BQ25" i="8"/>
  <c r="BD24" i="8"/>
  <c r="AD25" i="8"/>
  <c r="AG25" i="8"/>
  <c r="AG27" i="8"/>
  <c r="AG22" i="8"/>
  <c r="AG26" i="8"/>
  <c r="AJ47" i="8"/>
  <c r="AG30" i="8"/>
  <c r="AG32" i="8"/>
  <c r="AG29" i="8"/>
  <c r="AG23" i="8"/>
  <c r="AG28" i="8"/>
  <c r="AG24" i="8"/>
  <c r="BD31" i="8"/>
  <c r="BD28" i="8"/>
  <c r="BD23" i="8"/>
  <c r="AD23" i="8"/>
  <c r="CD23" i="8"/>
  <c r="BD32" i="8"/>
  <c r="AD22" i="8"/>
  <c r="BD22" i="8"/>
  <c r="BD29" i="8"/>
  <c r="CD27" i="8"/>
  <c r="AD26" i="8"/>
  <c r="CD22" i="8"/>
  <c r="BD27" i="8"/>
  <c r="AD24" i="8"/>
  <c r="CD28" i="8"/>
  <c r="BD30" i="8"/>
  <c r="AD30" i="8"/>
  <c r="CG47" i="8"/>
  <c r="CD32" i="8"/>
  <c r="CD29" i="8"/>
  <c r="AD32" i="8"/>
  <c r="CD30" i="8"/>
  <c r="AD28" i="8"/>
  <c r="BG47" i="8"/>
  <c r="AD29" i="8"/>
  <c r="AP10" i="1" l="1"/>
  <c r="AQ9" i="1"/>
  <c r="AO10" i="1"/>
  <c r="AS9" i="1"/>
  <c r="AS10" i="1" s="1"/>
  <c r="AR9" i="1"/>
  <c r="AT28" i="8"/>
  <c r="AT23" i="8"/>
  <c r="AT30" i="8"/>
  <c r="AT22" i="8"/>
  <c r="BT22" i="8"/>
  <c r="AG31" i="8"/>
  <c r="W47" i="8"/>
  <c r="W29" i="8" s="1"/>
  <c r="AQ31" i="8"/>
  <c r="CD31" i="8"/>
  <c r="R21" i="1"/>
  <c r="S21" i="1" s="1"/>
  <c r="AF21" i="1"/>
  <c r="AG21" i="1" s="1"/>
  <c r="AH21" i="1" s="1"/>
  <c r="G28" i="8"/>
  <c r="G27" i="8"/>
  <c r="G32" i="8"/>
  <c r="AD9" i="1"/>
  <c r="AE9" i="1" s="1"/>
  <c r="AF9" i="1" s="1"/>
  <c r="AF10" i="1" s="1"/>
  <c r="BK22" i="1"/>
  <c r="BL22" i="1" s="1"/>
  <c r="AC10" i="1"/>
  <c r="AQ21" i="1"/>
  <c r="BF9" i="1"/>
  <c r="BD10" i="1" s="1"/>
  <c r="BE21" i="1"/>
  <c r="T28" i="8"/>
  <c r="AT29" i="8"/>
  <c r="T26" i="8"/>
  <c r="AT24" i="8"/>
  <c r="BT30" i="8"/>
  <c r="BT32" i="8"/>
  <c r="AT25" i="8"/>
  <c r="BT25" i="8"/>
  <c r="AT26" i="8"/>
  <c r="AT27" i="8"/>
  <c r="T27" i="8"/>
  <c r="T23" i="8"/>
  <c r="T24" i="8"/>
  <c r="T31" i="8"/>
  <c r="AW47" i="8"/>
  <c r="AW22" i="8" s="1"/>
  <c r="T30" i="8"/>
  <c r="T29" i="8"/>
  <c r="T25" i="8"/>
  <c r="T22" i="8"/>
  <c r="BT23" i="8"/>
  <c r="BT31" i="8"/>
  <c r="BT24" i="8"/>
  <c r="BT28" i="8"/>
  <c r="BT26" i="8"/>
  <c r="BW47" i="8"/>
  <c r="BW31" i="8" s="1"/>
  <c r="BT29" i="8"/>
  <c r="G29" i="8"/>
  <c r="G22" i="8"/>
  <c r="G25" i="8"/>
  <c r="G30" i="8"/>
  <c r="G23" i="8"/>
  <c r="G31" i="8"/>
  <c r="G26" i="8"/>
  <c r="G24" i="8"/>
  <c r="BQ31" i="8"/>
  <c r="AT31" i="8"/>
  <c r="CG26" i="8"/>
  <c r="CG25" i="8"/>
  <c r="CG22" i="8"/>
  <c r="CG27" i="8"/>
  <c r="CG23" i="8"/>
  <c r="CG31" i="8"/>
  <c r="CJ47" i="8"/>
  <c r="CM47" i="8" s="1"/>
  <c r="CG28" i="8"/>
  <c r="CG24" i="8"/>
  <c r="CG30" i="8"/>
  <c r="CG32" i="8"/>
  <c r="CG29" i="8"/>
  <c r="J31" i="8"/>
  <c r="J32" i="8"/>
  <c r="J27" i="8"/>
  <c r="J28" i="8"/>
  <c r="J29" i="8"/>
  <c r="J24" i="8"/>
  <c r="J26" i="8"/>
  <c r="J30" i="8"/>
  <c r="M47" i="8"/>
  <c r="J23" i="8"/>
  <c r="J25" i="8"/>
  <c r="J22" i="8"/>
  <c r="AJ29" i="8"/>
  <c r="AJ32" i="8"/>
  <c r="AJ25" i="8"/>
  <c r="AJ27" i="8"/>
  <c r="AJ22" i="8"/>
  <c r="AJ23" i="8"/>
  <c r="AJ24" i="8"/>
  <c r="AJ31" i="8"/>
  <c r="AM47" i="8"/>
  <c r="AJ26" i="8"/>
  <c r="AJ30" i="8"/>
  <c r="AJ28" i="8"/>
  <c r="BG32" i="8"/>
  <c r="BG28" i="8"/>
  <c r="BG26" i="8"/>
  <c r="BG30" i="8"/>
  <c r="BG25" i="8"/>
  <c r="BJ47" i="8"/>
  <c r="BG23" i="8"/>
  <c r="BG27" i="8"/>
  <c r="BG22" i="8"/>
  <c r="BG31" i="8"/>
  <c r="BG24" i="8"/>
  <c r="BG29" i="8"/>
  <c r="AQ10" i="1" l="1"/>
  <c r="AT9" i="1"/>
  <c r="AU9" i="1" s="1"/>
  <c r="AR10" i="1"/>
  <c r="AI21" i="1"/>
  <c r="W31" i="8"/>
  <c r="W26" i="8"/>
  <c r="W30" i="8"/>
  <c r="Z47" i="8"/>
  <c r="Z23" i="8" s="1"/>
  <c r="W22" i="8"/>
  <c r="W24" i="8"/>
  <c r="W23" i="8"/>
  <c r="W28" i="8"/>
  <c r="W27" i="8"/>
  <c r="W32" i="8"/>
  <c r="W25" i="8"/>
  <c r="AW31" i="8"/>
  <c r="AW27" i="8"/>
  <c r="AW23" i="8"/>
  <c r="BF10" i="1"/>
  <c r="BG9" i="1"/>
  <c r="AR21" i="1"/>
  <c r="T21" i="1"/>
  <c r="U21" i="1" s="1"/>
  <c r="V21" i="1" s="1"/>
  <c r="AE10" i="1"/>
  <c r="AD10" i="1"/>
  <c r="BF21" i="1"/>
  <c r="AG9" i="1"/>
  <c r="AW28" i="8"/>
  <c r="BE10" i="1"/>
  <c r="AJ21" i="1"/>
  <c r="AK21" i="1" s="1"/>
  <c r="AL21" i="1" s="1"/>
  <c r="BW30" i="8"/>
  <c r="BW29" i="8"/>
  <c r="AW24" i="8"/>
  <c r="AW30" i="8"/>
  <c r="BW28" i="8"/>
  <c r="AW25" i="8"/>
  <c r="AW32" i="8"/>
  <c r="AW29" i="8"/>
  <c r="AW26" i="8"/>
  <c r="BW27" i="8"/>
  <c r="BZ47" i="8"/>
  <c r="BZ29" i="8" s="1"/>
  <c r="BW22" i="8"/>
  <c r="BW26" i="8"/>
  <c r="AZ47" i="8"/>
  <c r="AZ31" i="8" s="1"/>
  <c r="BW32" i="8"/>
  <c r="BW25" i="8"/>
  <c r="BW23" i="8"/>
  <c r="BW24" i="8"/>
  <c r="CM26" i="8"/>
  <c r="CM30" i="8"/>
  <c r="CM24" i="8"/>
  <c r="CM28" i="8"/>
  <c r="CM32" i="8"/>
  <c r="CM23" i="8"/>
  <c r="CM27" i="8"/>
  <c r="CM31" i="8"/>
  <c r="CM25" i="8"/>
  <c r="CM29" i="8"/>
  <c r="CM22" i="8"/>
  <c r="CJ29" i="8"/>
  <c r="CJ25" i="8"/>
  <c r="CJ30" i="8"/>
  <c r="CJ26" i="8"/>
  <c r="CJ28" i="8"/>
  <c r="CJ27" i="8"/>
  <c r="CJ31" i="8"/>
  <c r="CJ24" i="8"/>
  <c r="CJ22" i="8"/>
  <c r="CJ32" i="8"/>
  <c r="CJ23" i="8"/>
  <c r="BJ23" i="8"/>
  <c r="BJ32" i="8"/>
  <c r="BJ28" i="8"/>
  <c r="BJ25" i="8"/>
  <c r="BJ26" i="8"/>
  <c r="BJ31" i="8"/>
  <c r="BJ27" i="8"/>
  <c r="BM47" i="8"/>
  <c r="BJ30" i="8"/>
  <c r="BJ22" i="8"/>
  <c r="BJ29" i="8"/>
  <c r="BJ24" i="8"/>
  <c r="AM31" i="8"/>
  <c r="AM27" i="8"/>
  <c r="AM29" i="8"/>
  <c r="AM28" i="8"/>
  <c r="AM25" i="8"/>
  <c r="AM30" i="8"/>
  <c r="AM24" i="8"/>
  <c r="AM22" i="8"/>
  <c r="AM23" i="8"/>
  <c r="AM26" i="8"/>
  <c r="AM32" i="8"/>
  <c r="M27" i="8"/>
  <c r="M26" i="8"/>
  <c r="M23" i="8"/>
  <c r="M24" i="8"/>
  <c r="M30" i="8"/>
  <c r="M25" i="8"/>
  <c r="M31" i="8"/>
  <c r="M22" i="8"/>
  <c r="M28" i="8"/>
  <c r="M29" i="8"/>
  <c r="M32" i="8"/>
  <c r="AU10" i="1" l="1"/>
  <c r="AV9" i="1"/>
  <c r="AV10" i="1" s="1"/>
  <c r="AT10" i="1"/>
  <c r="Z27" i="8"/>
  <c r="BZ31" i="8"/>
  <c r="Z25" i="8"/>
  <c r="Z26" i="8"/>
  <c r="Z32" i="8"/>
  <c r="Z22" i="8"/>
  <c r="Z29" i="8"/>
  <c r="Z31" i="8"/>
  <c r="Z28" i="8"/>
  <c r="Z24" i="8"/>
  <c r="Z30" i="8"/>
  <c r="AZ28" i="8"/>
  <c r="BZ25" i="8"/>
  <c r="AZ24" i="8"/>
  <c r="BZ24" i="8"/>
  <c r="W21" i="1"/>
  <c r="X21" i="1" s="1"/>
  <c r="Y21" i="1" s="1"/>
  <c r="AS21" i="1"/>
  <c r="BZ26" i="8"/>
  <c r="BZ30" i="8"/>
  <c r="BG21" i="1"/>
  <c r="BH21" i="1" s="1"/>
  <c r="BH9" i="1"/>
  <c r="BG10" i="1" s="1"/>
  <c r="BZ22" i="8"/>
  <c r="BZ23" i="8"/>
  <c r="AT21" i="1"/>
  <c r="AH9" i="1"/>
  <c r="BI9" i="1"/>
  <c r="BI10" i="1" s="1"/>
  <c r="AZ25" i="8"/>
  <c r="AZ22" i="8"/>
  <c r="AZ32" i="8"/>
  <c r="AZ27" i="8"/>
  <c r="AZ23" i="8"/>
  <c r="AZ30" i="8"/>
  <c r="AZ26" i="8"/>
  <c r="AZ29" i="8"/>
  <c r="BZ28" i="8"/>
  <c r="BZ32" i="8"/>
  <c r="BZ27" i="8"/>
  <c r="BM25" i="8"/>
  <c r="BM26" i="8"/>
  <c r="BM23" i="8"/>
  <c r="BM31" i="8"/>
  <c r="BM22" i="8"/>
  <c r="BM27" i="8"/>
  <c r="BM28" i="8"/>
  <c r="BM32" i="8"/>
  <c r="BM24" i="8"/>
  <c r="BM30" i="8"/>
  <c r="BM29" i="8"/>
  <c r="AW9" i="1" l="1"/>
  <c r="AI9" i="1"/>
  <c r="AI10" i="1" s="1"/>
  <c r="BI21" i="1"/>
  <c r="BJ21" i="1" s="1"/>
  <c r="BH10" i="1"/>
  <c r="AU21" i="1"/>
  <c r="AX9" i="1" l="1"/>
  <c r="AG10" i="1"/>
  <c r="AJ9" i="1"/>
  <c r="AK9" i="1" s="1"/>
  <c r="AV21" i="1"/>
  <c r="AW21" i="1" s="1"/>
  <c r="AX21" i="1" s="1"/>
  <c r="AH10" i="1"/>
  <c r="BK21" i="1"/>
  <c r="BL21" i="1" s="1"/>
  <c r="AX10" i="1" l="1"/>
  <c r="AY9" i="1"/>
  <c r="AY10" i="1" s="1"/>
  <c r="BL10" i="1"/>
  <c r="BK10" i="1"/>
  <c r="AW10" i="1"/>
  <c r="BJ10" i="1"/>
  <c r="AL9" i="1"/>
  <c r="AY21" i="1"/>
  <c r="AL10" i="1" l="1"/>
  <c r="AJ10" i="1"/>
  <c r="AK10" i="1"/>
</calcChain>
</file>

<file path=xl/comments1.xml><?xml version="1.0" encoding="utf-8"?>
<comments xmlns="http://schemas.openxmlformats.org/spreadsheetml/2006/main">
  <authors>
    <author>AMANOOKIAN</author>
  </authors>
  <commentList>
    <comment ref="A18" authorId="0" shapeId="0">
      <text>
        <r>
          <rPr>
            <b/>
            <sz val="8"/>
            <color indexed="81"/>
            <rFont val="Tahoma"/>
            <family val="2"/>
          </rPr>
          <t>AMANOOKIAN:</t>
        </r>
        <r>
          <rPr>
            <sz val="8"/>
            <color indexed="81"/>
            <rFont val="Tahoma"/>
            <family val="2"/>
          </rPr>
          <t xml:space="preserve">
only annual 
</t>
        </r>
      </text>
    </comment>
  </commentList>
</comments>
</file>

<file path=xl/comments2.xml><?xml version="1.0" encoding="utf-8"?>
<comments xmlns="http://schemas.openxmlformats.org/spreadsheetml/2006/main">
  <authors>
    <author>AManookianLOCAL</author>
  </authors>
  <commentList>
    <comment ref="CJ29" authorId="0" shapeId="0">
      <text>
        <r>
          <rPr>
            <b/>
            <sz val="9"/>
            <color indexed="81"/>
            <rFont val="Tahoma"/>
            <family val="2"/>
          </rPr>
          <t>AManookianLOCAL:</t>
        </r>
        <r>
          <rPr>
            <sz val="9"/>
            <color indexed="81"/>
            <rFont val="Tahoma"/>
            <family val="2"/>
          </rPr>
          <t xml:space="preserve">
The rates changed since 2012 based on CBA websitre file. </t>
        </r>
      </text>
    </comment>
  </commentList>
</comments>
</file>

<file path=xl/comments3.xml><?xml version="1.0" encoding="utf-8"?>
<comments xmlns="http://schemas.openxmlformats.org/spreadsheetml/2006/main">
  <authors>
    <author>ASTEPANYAN</author>
    <author>AManookianLOCAL</author>
    <author>Aghazaryan</author>
  </authors>
  <commentList>
    <comment ref="G11" authorId="0" shapeId="0">
      <text>
        <r>
          <rPr>
            <b/>
            <sz val="8"/>
            <color indexed="81"/>
            <rFont val="Tahoma"/>
            <family val="2"/>
          </rPr>
          <t>ASTEPANYAN:</t>
        </r>
        <r>
          <rPr>
            <sz val="8"/>
            <color indexed="81"/>
            <rFont val="Tahoma"/>
            <family val="2"/>
          </rPr>
          <t xml:space="preserve">
revised in July 2008</t>
        </r>
      </text>
    </comment>
    <comment ref="G12" authorId="0" shapeId="0">
      <text>
        <r>
          <rPr>
            <b/>
            <sz val="8"/>
            <color indexed="81"/>
            <rFont val="Tahoma"/>
            <family val="2"/>
          </rPr>
          <t>ASTEPANYAN:</t>
        </r>
        <r>
          <rPr>
            <sz val="8"/>
            <color indexed="81"/>
            <rFont val="Tahoma"/>
            <family val="2"/>
          </rPr>
          <t xml:space="preserve">
revised in July 2008</t>
        </r>
      </text>
    </comment>
    <comment ref="A37" authorId="1" shapeId="0">
      <text>
        <r>
          <rPr>
            <b/>
            <sz val="9"/>
            <color indexed="81"/>
            <rFont val="Tahoma"/>
            <family val="2"/>
          </rPr>
          <t>AManookianLOCAL:</t>
        </r>
        <r>
          <rPr>
            <sz val="9"/>
            <color indexed="81"/>
            <rFont val="Tahoma"/>
            <family val="2"/>
          </rPr>
          <t xml:space="preserve">
CBA site</t>
        </r>
      </text>
    </comment>
    <comment ref="M41" authorId="1" shapeId="0">
      <text>
        <r>
          <rPr>
            <b/>
            <sz val="9"/>
            <color indexed="81"/>
            <rFont val="Tahoma"/>
            <family val="2"/>
          </rPr>
          <t>AManookianLOCAL:</t>
        </r>
        <r>
          <rPr>
            <sz val="9"/>
            <color indexed="81"/>
            <rFont val="Tahoma"/>
            <family val="2"/>
          </rPr>
          <t xml:space="preserve">
Based on Macro tables of Dec 5, 2014 Staff report 
</t>
        </r>
      </text>
    </comment>
    <comment ref="O41" authorId="1" shapeId="0">
      <text>
        <r>
          <rPr>
            <b/>
            <sz val="9"/>
            <color indexed="81"/>
            <rFont val="Tahoma"/>
            <family val="2"/>
          </rPr>
          <t>AManookianLOCAL:</t>
        </r>
        <r>
          <rPr>
            <sz val="9"/>
            <color indexed="81"/>
            <rFont val="Tahoma"/>
            <family val="2"/>
          </rPr>
          <t xml:space="preserve">
Based on Macro tables of  September   2015 mission 
</t>
        </r>
      </text>
    </comment>
    <comment ref="P41" authorId="1" shapeId="0">
      <text>
        <r>
          <rPr>
            <b/>
            <sz val="9"/>
            <color indexed="81"/>
            <rFont val="Tahoma"/>
            <family val="2"/>
          </rPr>
          <t>AManookianLOCAL:</t>
        </r>
        <r>
          <rPr>
            <sz val="9"/>
            <color indexed="81"/>
            <rFont val="Tahoma"/>
            <family val="2"/>
          </rPr>
          <t xml:space="preserve">
Based on Macro tables of   April 2016 mission
</t>
        </r>
      </text>
    </comment>
    <comment ref="Q41" authorId="1" shapeId="0">
      <text>
        <r>
          <rPr>
            <b/>
            <sz val="9"/>
            <color indexed="81"/>
            <rFont val="Tahoma"/>
            <family val="2"/>
          </rPr>
          <t>AManookianLOCAL:</t>
        </r>
        <r>
          <rPr>
            <sz val="9"/>
            <color indexed="81"/>
            <rFont val="Tahoma"/>
            <family val="2"/>
          </rPr>
          <t xml:space="preserve">
Based on Macro tables of   April 2017 mission
</t>
        </r>
      </text>
    </comment>
    <comment ref="G42" authorId="0" shapeId="0">
      <text>
        <r>
          <rPr>
            <b/>
            <sz val="8"/>
            <color indexed="81"/>
            <rFont val="Tahoma"/>
            <family val="2"/>
          </rPr>
          <t>proj 2010</t>
        </r>
      </text>
    </comment>
    <comment ref="H42" authorId="0" shapeId="0">
      <text>
        <r>
          <rPr>
            <b/>
            <sz val="8"/>
            <color indexed="81"/>
            <rFont val="Tahoma"/>
            <family val="2"/>
          </rPr>
          <t>proj 2011</t>
        </r>
      </text>
    </comment>
    <comment ref="I42" authorId="2" shapeId="0">
      <text>
        <r>
          <rPr>
            <b/>
            <sz val="9"/>
            <color indexed="81"/>
            <rFont val="Tahoma"/>
            <family val="2"/>
          </rPr>
          <t>Proj. 2012</t>
        </r>
      </text>
    </comment>
    <comment ref="J42" authorId="2" shapeId="0">
      <text>
        <r>
          <rPr>
            <b/>
            <sz val="9"/>
            <color indexed="81"/>
            <rFont val="Tahoma"/>
            <family val="2"/>
          </rPr>
          <t>Proj. 2013
 Revised  Based on July SR. 
It was 418.75 before</t>
        </r>
      </text>
    </comment>
    <comment ref="K42" authorId="1" shapeId="0">
      <text>
        <r>
          <rPr>
            <b/>
            <sz val="9"/>
            <color indexed="81"/>
            <rFont val="Tahoma"/>
            <family val="2"/>
          </rPr>
          <t>AManookianLOCAL:</t>
        </r>
        <r>
          <rPr>
            <sz val="9"/>
            <color indexed="81"/>
            <rFont val="Tahoma"/>
            <family val="2"/>
          </rPr>
          <t xml:space="preserve">
Based on April 2013 SR</t>
        </r>
      </text>
    </comment>
    <comment ref="L42" authorId="1" shapeId="0">
      <text>
        <r>
          <rPr>
            <b/>
            <sz val="9"/>
            <color indexed="81"/>
            <rFont val="Tahoma"/>
            <family val="2"/>
          </rPr>
          <t>AManookianLOCAL:</t>
        </r>
        <r>
          <rPr>
            <sz val="9"/>
            <color indexed="81"/>
            <rFont val="Tahoma"/>
            <family val="2"/>
          </rPr>
          <t xml:space="preserve">
According to Table 2 of Macro According to the revised tables, July 2014. 
Table 2: 
 Import of Goods for 2015=3976
 Import of services for 2015=1260
 Import of G&amp; S in 2015= 5236
Monthly Import of G&amp; S in 2015=5236/12=436
</t>
        </r>
      </text>
    </comment>
    <comment ref="M42" authorId="1" shapeId="0">
      <text>
        <r>
          <rPr>
            <b/>
            <sz val="9"/>
            <color indexed="81"/>
            <rFont val="Tahoma"/>
            <family val="2"/>
          </rPr>
          <t>AManookianLOCAL:</t>
        </r>
        <r>
          <rPr>
            <sz val="9"/>
            <color indexed="81"/>
            <rFont val="Tahoma"/>
            <family val="2"/>
          </rPr>
          <t xml:space="preserve">
mport of Goods for 2015=3915
 Import of services for 2015=1283
 Import of G&amp; S in 2015= 5198
Monthly Import of G&amp; S in 2015=5198/12=433
</t>
        </r>
      </text>
    </comment>
  </commentList>
</comments>
</file>

<file path=xl/sharedStrings.xml><?xml version="1.0" encoding="utf-8"?>
<sst xmlns="http://schemas.openxmlformats.org/spreadsheetml/2006/main" count="202" uniqueCount="142">
  <si>
    <t>Consumer Confidence Index (percent, yoy)</t>
  </si>
  <si>
    <t>Electricity production and distribution (in millions of dram, at current prices)</t>
  </si>
  <si>
    <t>Retail sales turnover (in millions of dram, at current prices)</t>
  </si>
  <si>
    <t>Bank assets</t>
  </si>
  <si>
    <t>PPI (in annual percent changes)</t>
  </si>
  <si>
    <t>Table 3. Armenia: Fiscal Sector 1/</t>
  </si>
  <si>
    <t>Tax revenue 3/</t>
  </si>
  <si>
    <t>VAT revenue 3/</t>
  </si>
  <si>
    <t>Social contributions</t>
  </si>
  <si>
    <t xml:space="preserve">Net acquisition of non-financial assets </t>
  </si>
  <si>
    <t>Acquisition of non-financial assets (Capital Expenditures)</t>
  </si>
  <si>
    <t xml:space="preserve">Disposals of non-financial assets (Capital revenue) </t>
  </si>
  <si>
    <t>Net lending (below the line) 4/</t>
  </si>
  <si>
    <t>1/ Since 2008, fiscal data is based on the GFS 2001 classification and includes State Social Security Service.   The 2007 data have been reclassified according to preliminary IMF estimates, to make them comparable with the 2008 data.</t>
  </si>
  <si>
    <t>Acquisition of non-financial assets (Capital Expenditures) 2/</t>
  </si>
  <si>
    <t>Net acquisition of non-financial assets  2/</t>
  </si>
  <si>
    <t>(Numbers in bold are revised data)</t>
  </si>
  <si>
    <t>Revenues and grants 2/ 3/</t>
  </si>
  <si>
    <t>Expenses (Current expenditures) 2/ 3/</t>
  </si>
  <si>
    <t>GDP (in millions of dram, at current prices)-old figures</t>
  </si>
  <si>
    <t>GDP (in millions of dram, at current prices)-revised-quarterly cumulative</t>
  </si>
  <si>
    <t>Exchange rate (AMD per USD, average)</t>
  </si>
  <si>
    <t>share of months in quarters-old figures</t>
  </si>
  <si>
    <t>Nominal GDP</t>
  </si>
  <si>
    <t>(Cumulative, in annual percent change)</t>
  </si>
  <si>
    <t>(In millions of drams)</t>
  </si>
  <si>
    <t>(Cumulative, in annual percent change, unless otherwise indicated)</t>
  </si>
  <si>
    <t>(In USD)</t>
  </si>
  <si>
    <t>Gross Domestic Product</t>
  </si>
  <si>
    <t>Taxes on production (net of subsidies)</t>
  </si>
  <si>
    <t xml:space="preserve">Value added </t>
  </si>
  <si>
    <t>Services indirectly measured by financial intermediation</t>
  </si>
  <si>
    <t>Agriculture, hunting and forestry, fishing and fish-breeding</t>
  </si>
  <si>
    <t>Construction</t>
  </si>
  <si>
    <t>Monetary Base</t>
  </si>
  <si>
    <t>CBA repo rate</t>
  </si>
  <si>
    <t>Deposits</t>
  </si>
  <si>
    <t>Dram</t>
  </si>
  <si>
    <t>Foreign currency</t>
  </si>
  <si>
    <t>Loans</t>
  </si>
  <si>
    <t>Export</t>
  </si>
  <si>
    <t>Import</t>
  </si>
  <si>
    <t>FDI</t>
  </si>
  <si>
    <t>Exchange Rate</t>
  </si>
  <si>
    <t xml:space="preserve">Industry including energy sector </t>
  </si>
  <si>
    <t>Public sector</t>
  </si>
  <si>
    <t>Private sector</t>
  </si>
  <si>
    <t>Dram Broad Money (M2)</t>
  </si>
  <si>
    <t>Interbank money market rate</t>
  </si>
  <si>
    <t>Demand deposits</t>
  </si>
  <si>
    <t>Time deposits</t>
  </si>
  <si>
    <t>-</t>
  </si>
  <si>
    <t>Foreign exchange intervention</t>
  </si>
  <si>
    <t>Banking sector assets</t>
  </si>
  <si>
    <t>Exports</t>
  </si>
  <si>
    <t>Imports</t>
  </si>
  <si>
    <t>Trade balance</t>
  </si>
  <si>
    <t>Current account balance</t>
  </si>
  <si>
    <t>Private transfers</t>
  </si>
  <si>
    <t>(In annual percent change)</t>
  </si>
  <si>
    <t>Exchange rate (AMD per USD, e.o.p.)</t>
  </si>
  <si>
    <t>GDP (in millions of U.S. dollars, at current prices)</t>
  </si>
  <si>
    <t>(In percent)</t>
  </si>
  <si>
    <t>(In millions of USD)</t>
  </si>
  <si>
    <t>Import cover (In months of next year's projected imports)</t>
  </si>
  <si>
    <t>Broad Money (M2X)</t>
  </si>
  <si>
    <t>Average nominal wage</t>
  </si>
  <si>
    <t>Table 1. Armenia: Real Sector</t>
  </si>
  <si>
    <t>Table 4. Armenia: External Sector</t>
  </si>
  <si>
    <t>Sources: National Statistical Service, Central Bank of Armenia, and IMF staff calculations</t>
  </si>
  <si>
    <t>Sources: Central Bank of Armenia, National Statistical Service, and IMF staff calculations</t>
  </si>
  <si>
    <t>Credit</t>
  </si>
  <si>
    <r>
      <t>(Cumulative, in percent of GDP</t>
    </r>
    <r>
      <rPr>
        <i/>
        <sz val="10"/>
        <rFont val="Times New Roman"/>
        <family val="1"/>
      </rPr>
      <t>)</t>
    </r>
  </si>
  <si>
    <t>AMD lending-deposit spread</t>
  </si>
  <si>
    <t>USD lending-deposit spread</t>
  </si>
  <si>
    <t>M2/GDP 1/</t>
  </si>
  <si>
    <t>M2X/GDP 1/</t>
  </si>
  <si>
    <t>Deposits/GDP 1/</t>
  </si>
  <si>
    <t>Credit/GDP 1/</t>
  </si>
  <si>
    <t>Bank assets/GDP 1/</t>
  </si>
  <si>
    <t xml:space="preserve">Volume of industrial output: </t>
  </si>
  <si>
    <t xml:space="preserve">Volume of agricultural output: </t>
  </si>
  <si>
    <t xml:space="preserve">Volume of construction output: </t>
  </si>
  <si>
    <t>Trade turnover</t>
  </si>
  <si>
    <t>Volume of services</t>
  </si>
  <si>
    <t>Economic Activity Index</t>
  </si>
  <si>
    <t>Unemployment rate</t>
  </si>
  <si>
    <t>M2</t>
  </si>
  <si>
    <t>M2X</t>
  </si>
  <si>
    <t>Table 2. Armenia: Monetary Sector
(Numbers in bold are revised data)</t>
  </si>
  <si>
    <t>Tax revenue and Social Contribution</t>
  </si>
  <si>
    <t>Trade and Services</t>
  </si>
  <si>
    <t>AMD lending rates (up to one year)</t>
  </si>
  <si>
    <t>AMD deposit rates (up to one year)</t>
  </si>
  <si>
    <t>USD lending rates (up to one year)</t>
  </si>
  <si>
    <t>USD deposit rates (up to one year)</t>
  </si>
  <si>
    <t>Economic Activity Index (cumulative)</t>
  </si>
  <si>
    <t>Sources: Ministry of Finance, National Statistical Service, and IMF staff calculations</t>
  </si>
  <si>
    <t xml:space="preserve">4/ Before the switch to GFS 2001 classification (see footnote 1), the overall balance was including net lending.  </t>
  </si>
  <si>
    <t>(y-o-y, in percent contributions to GDP growth)</t>
  </si>
  <si>
    <t>(share in  GDP)</t>
  </si>
  <si>
    <t>Expenses (Current expenditures) 2/ 3/ 5/</t>
  </si>
  <si>
    <t xml:space="preserve">Overall balance/ Net lending  Borrowing 5/ </t>
  </si>
  <si>
    <t>Overall balance 5/</t>
  </si>
  <si>
    <t>5/Includes gas transaction of about 63.3 bln. AMD in December 2013</t>
  </si>
  <si>
    <t xml:space="preserve">Average nominal wage 2/ </t>
  </si>
  <si>
    <t>Average nominal wage (in annual percent change) 1/ 2/</t>
  </si>
  <si>
    <t>(y-o-y, non-cumulative, in annual percent change)</t>
  </si>
  <si>
    <t>Business Climate Index (percent, yoy) 3/</t>
  </si>
  <si>
    <t>3/2012 and 2013 indices are not comperable, because starting from Q1, 2014 methodology of calculation has changed. Currently CBA publishes only one index BCI instead of former BAI and BCI.</t>
  </si>
  <si>
    <t xml:space="preserve">2/ From December 2013 official numbers for Public sector wages include also the wages of military servants for years 2012 and 2013. 2012 and 2011 numbers are not comparable </t>
  </si>
  <si>
    <t>Gross International reserves (In millions of USD)</t>
  </si>
  <si>
    <t>proj for 2015</t>
  </si>
  <si>
    <t>proj for 2014</t>
  </si>
  <si>
    <t>Inflation (in annual percent change) 4/</t>
  </si>
  <si>
    <t>Core Inflation (in annual percent change) 4/</t>
  </si>
  <si>
    <t>GDP (in millions of dram, at current prices) 5/</t>
  </si>
  <si>
    <t xml:space="preserve">5/As a result of introduction of SNA 2008, data from 2015 is not comperable with the previous period </t>
  </si>
  <si>
    <t>Gross Domestic Product 5/</t>
  </si>
  <si>
    <t>3/ Excluded VAT refunds and included VAT part of presumptive payments on tobacco production. From 2015, VAT revenues include also VAT collected from tobacco products, which was shown separatelly before 2015</t>
  </si>
  <si>
    <t>Social contributions/new social paym. reflected from 2015</t>
  </si>
  <si>
    <t>Social contributionss/new social paym. reflected from 2015</t>
  </si>
  <si>
    <t>6/ From 2015 all ratios are calculated based on new SNA 2008 GDP</t>
  </si>
  <si>
    <t>4/ CPI basket weights are updated annually since 2015</t>
  </si>
  <si>
    <t xml:space="preserve">2/ This excludes PIU grants and expenditures financed by PIU grants trough 2012. All the PIU loans are reflected in capital expenditures through 2012 (this relates only the monthly data), while from 2013 MOF revised the monthly data to reflect all the PIU's (loans and grants) distributed by current and capital expenditures. Therefore, monthly data on capital expenditures since  2013 is not comparable with the monthly data of previous years </t>
  </si>
  <si>
    <t>Gasoline price per liter in AMD 6/</t>
  </si>
  <si>
    <t>Diesel fuel price per liter in AMD 6/</t>
  </si>
  <si>
    <t>6/ From January, 2017 the coverage of gasoline and diesel prices in the main regions (marzes) of Armenia have been expanded. Now it includes also prices of high grade fuel (for gasoline it includes also prices of premium and super grade, for diesel it includes also prices of euro diesel ). This has been reflected in the statistical increase of prices by 5-15 dram per liter.</t>
  </si>
  <si>
    <t>Gasoline price per liter 6/</t>
  </si>
  <si>
    <t>Diesel fuel price per liter 6/</t>
  </si>
  <si>
    <t>(Cumulative, in percent of GDP)</t>
  </si>
  <si>
    <t xml:space="preserve">Current account balance </t>
  </si>
  <si>
    <t xml:space="preserve">Private transfers </t>
  </si>
  <si>
    <t xml:space="preserve">FDI </t>
  </si>
  <si>
    <t>1/The ratio is calculated based on the latest available four quarter cummulative GDP</t>
  </si>
  <si>
    <t>T-Bills interest rate (average)</t>
  </si>
  <si>
    <t>480.47</t>
  </si>
  <si>
    <t>478.36</t>
  </si>
  <si>
    <t>N/A</t>
  </si>
  <si>
    <t xml:space="preserve">Tax revenue and Social Contribution </t>
  </si>
  <si>
    <t>Revenues and grants 6/</t>
  </si>
  <si>
    <t>1/ Since the first January  2013 average wages have been calculated based on the new "Income Tax" law, according  to which they include social contribution formerly paid by employer. 2012 numbers have been recalculated according to new methodology. 2012 and 2011 numbers are not comparable.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</si>
</sst>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_);_(* \(#,##0.0\);_(* &quot;-&quot;??_);_(@_)"/>
    <numFmt numFmtId="167" formatCode="0.0_);\(0.0\)"/>
    <numFmt numFmtId="168" formatCode="[$-409]mmm\-yy;@"/>
    <numFmt numFmtId="169" formatCode="_([$€-2]* #,##0.00_);_([$€-2]* \(#,##0.00\);_([$€-2]* &quot;-&quot;??_)"/>
    <numFmt numFmtId="170" formatCode="\$#,##0.00\ ;\(\$#,##0.00\)"/>
    <numFmt numFmtId="171" formatCode="&quot;   &quot;@"/>
    <numFmt numFmtId="172" formatCode="&quot;      &quot;@"/>
    <numFmt numFmtId="173" formatCode="&quot;         &quot;@"/>
    <numFmt numFmtId="174" formatCode="&quot;            &quot;@"/>
    <numFmt numFmtId="175" formatCode="\M\o\n\t\h\ \D.\y\y\y\y"/>
    <numFmt numFmtId="176" formatCode="General_)"/>
    <numFmt numFmtId="177" formatCode="[&gt;0.05]#,##0.0;[&lt;-0.05]\-#,##0.0;\-\-&quot; &quot;;"/>
    <numFmt numFmtId="178" formatCode="[Black]#,##0.0;[Black]\-#,##0.0;;"/>
    <numFmt numFmtId="179" formatCode="&quot;               &quot;@"/>
    <numFmt numFmtId="180" formatCode="[&gt;=0.05]#,##0.0;[&lt;=-0.05]\-#,##0.0;?0.0"/>
    <numFmt numFmtId="181" formatCode="General\ \ \ \ \ \ "/>
    <numFmt numFmtId="182" formatCode="0.0\ \ \ \ \ \ \ \ "/>
    <numFmt numFmtId="183" formatCode="mmmm\ yyyy"/>
    <numFmt numFmtId="184" formatCode="[$-409]d\-mmm;@"/>
    <numFmt numFmtId="185" formatCode="_-* #,##0.00\ _ _-;\-* #,##0.00\ _ _-;_-* &quot;-&quot;??\ _ _-;_-@_-"/>
    <numFmt numFmtId="186" formatCode="_-* #,##0.00_-;\-* #,##0.00_-;_-* &quot;-&quot;??_-;_-@_-"/>
    <numFmt numFmtId="187" formatCode="_-* #,##0.00\ [$€-1]_-;\-* #,##0.00\ [$€-1]_-;_-* &quot;-&quot;??\ [$€-1]_-"/>
    <numFmt numFmtId="188" formatCode="_(* #,##0_);_(* \(#,##0\);_(* &quot;-&quot;??_);_(@_)"/>
    <numFmt numFmtId="189" formatCode="#,##0.00_);\-#,##0.00"/>
    <numFmt numFmtId="190" formatCode="_-* #,##0.0_-;\-* #,##0.0_-;_-* &quot;-&quot;??_-;_-@_-"/>
    <numFmt numFmtId="191" formatCode="_-#,##0.0_-;\-#,##0.0_-;_-\ &quot;-&quot;??_-;_-@_-"/>
  </numFmts>
  <fonts count="168">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sz val="8"/>
      <name val="Times New Roman"/>
      <family val="1"/>
    </font>
    <font>
      <sz val="10"/>
      <name val="Times New Roman"/>
      <family val="1"/>
    </font>
    <font>
      <b/>
      <sz val="10"/>
      <name val="Times New Roman"/>
      <family val="1"/>
    </font>
    <font>
      <i/>
      <sz val="10"/>
      <name val="Times New Roman"/>
      <family val="1"/>
    </font>
    <font>
      <sz val="8"/>
      <color indexed="81"/>
      <name val="Tahoma"/>
      <family val="2"/>
    </font>
    <font>
      <b/>
      <sz val="8"/>
      <color indexed="81"/>
      <name val="Tahoma"/>
      <family val="2"/>
    </font>
    <font>
      <sz val="10"/>
      <name val="Times Armenian"/>
      <family val="1"/>
    </font>
    <font>
      <sz val="11"/>
      <name val="Times New Roman"/>
      <family val="1"/>
    </font>
    <font>
      <sz val="10"/>
      <name val="Times Armenian"/>
      <family val="1"/>
    </font>
    <font>
      <sz val="12"/>
      <name val="Times New Roman"/>
      <family val="1"/>
    </font>
    <font>
      <sz val="10"/>
      <color indexed="10"/>
      <name val="Times New Roman"/>
      <family val="1"/>
    </font>
    <font>
      <sz val="10"/>
      <name val="Arial"/>
      <family val="2"/>
    </font>
    <font>
      <sz val="12"/>
      <color indexed="10"/>
      <name val="Times New Roman"/>
      <family val="1"/>
    </font>
    <font>
      <sz val="10"/>
      <name val="Arial"/>
      <family val="2"/>
    </font>
    <font>
      <sz val="8"/>
      <name val="Verdana"/>
      <family val="2"/>
    </font>
    <font>
      <b/>
      <sz val="9"/>
      <color indexed="81"/>
      <name val="Tahoma"/>
      <family val="2"/>
    </font>
    <font>
      <b/>
      <sz val="18"/>
      <color indexed="56"/>
      <name val="Cambria"/>
      <family val="2"/>
    </font>
    <font>
      <sz val="10"/>
      <name val="MS Sans Serif"/>
      <family val="2"/>
    </font>
    <font>
      <sz val="12"/>
      <name val="Tms Rmn"/>
    </font>
    <font>
      <sz val="7"/>
      <name val="Small Fonts"/>
      <family val="2"/>
    </font>
    <font>
      <sz val="11"/>
      <color indexed="8"/>
      <name val="Calibri"/>
      <family val="2"/>
      <charset val="204"/>
    </font>
    <font>
      <sz val="11"/>
      <color indexed="9"/>
      <name val="Calibri"/>
      <family val="2"/>
      <charset val="204"/>
    </font>
    <font>
      <b/>
      <sz val="11"/>
      <color indexed="8"/>
      <name val="Calibri"/>
      <family val="2"/>
      <charset val="204"/>
    </font>
    <font>
      <sz val="10"/>
      <name val="Arial Armenian"/>
      <family val="2"/>
    </font>
    <font>
      <sz val="11"/>
      <color indexed="8"/>
      <name val="Times Armenian"/>
      <family val="2"/>
    </font>
    <font>
      <b/>
      <sz val="18"/>
      <color indexed="62"/>
      <name val="Cambria"/>
      <family val="2"/>
      <charset val="204"/>
    </font>
    <font>
      <sz val="12"/>
      <color indexed="24"/>
      <name val="Modern"/>
      <family val="3"/>
      <charset val="255"/>
    </font>
    <font>
      <b/>
      <sz val="18"/>
      <color indexed="24"/>
      <name val="Modern"/>
      <family val="3"/>
      <charset val="255"/>
    </font>
    <font>
      <b/>
      <sz val="12"/>
      <color indexed="24"/>
      <name val="Modern"/>
      <family val="3"/>
      <charset val="255"/>
    </font>
    <font>
      <sz val="11"/>
      <color indexed="9"/>
      <name val="Times Armenian"/>
      <family val="2"/>
    </font>
    <font>
      <sz val="11"/>
      <color indexed="20"/>
      <name val="Times Armenian"/>
      <family val="2"/>
    </font>
    <font>
      <b/>
      <sz val="11"/>
      <color indexed="52"/>
      <name val="Times Armenian"/>
      <family val="2"/>
    </font>
    <font>
      <b/>
      <sz val="11"/>
      <color indexed="9"/>
      <name val="Times Armenian"/>
      <family val="2"/>
    </font>
    <font>
      <sz val="1"/>
      <color indexed="8"/>
      <name val="Courier"/>
      <family val="3"/>
    </font>
    <font>
      <sz val="12"/>
      <name val="Helv"/>
    </font>
    <font>
      <i/>
      <sz val="11"/>
      <color indexed="23"/>
      <name val="Times Armenian"/>
      <family val="2"/>
    </font>
    <font>
      <sz val="11"/>
      <color indexed="17"/>
      <name val="Times Armenian"/>
      <family val="2"/>
    </font>
    <font>
      <b/>
      <sz val="15"/>
      <color indexed="56"/>
      <name val="Times Armenian"/>
      <family val="2"/>
    </font>
    <font>
      <b/>
      <sz val="13"/>
      <color indexed="56"/>
      <name val="Times Armenian"/>
      <family val="2"/>
    </font>
    <font>
      <b/>
      <sz val="11"/>
      <color indexed="56"/>
      <name val="Times Armenian"/>
      <family val="2"/>
    </font>
    <font>
      <b/>
      <sz val="1"/>
      <color indexed="8"/>
      <name val="Courier"/>
      <family val="3"/>
    </font>
    <font>
      <sz val="9"/>
      <name val="Times New Roman"/>
      <family val="1"/>
    </font>
    <font>
      <sz val="11"/>
      <color indexed="62"/>
      <name val="Times Armenian"/>
      <family val="2"/>
    </font>
    <font>
      <sz val="11"/>
      <color indexed="52"/>
      <name val="Times Armenian"/>
      <family val="2"/>
    </font>
    <font>
      <sz val="11"/>
      <color indexed="60"/>
      <name val="Times Armenian"/>
      <family val="2"/>
    </font>
    <font>
      <sz val="10"/>
      <name val="Tms Rmn"/>
    </font>
    <font>
      <b/>
      <sz val="11"/>
      <color indexed="63"/>
      <name val="Times Armenian"/>
      <family val="2"/>
    </font>
    <font>
      <b/>
      <sz val="11"/>
      <color indexed="8"/>
      <name val="Times Armenian"/>
      <family val="2"/>
    </font>
    <font>
      <sz val="11"/>
      <color indexed="10"/>
      <name val="Times Armenian"/>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sz val="10"/>
      <color indexed="8"/>
      <name val="Times New Roman"/>
      <family val="1"/>
    </font>
    <font>
      <sz val="12"/>
      <name val="Times Armenian"/>
      <family val="1"/>
    </font>
    <font>
      <b/>
      <i/>
      <sz val="10"/>
      <name val="Times New Roman"/>
      <family val="1"/>
    </font>
    <font>
      <vertAlign val="superscript"/>
      <sz val="9"/>
      <color indexed="8"/>
      <name val="Times New Roman"/>
      <family val="1"/>
    </font>
    <font>
      <sz val="9"/>
      <color indexed="8"/>
      <name val="Times New Roman"/>
      <family val="1"/>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sz val="10"/>
      <color indexed="8"/>
      <name val="MS Sans Serif"/>
      <family val="2"/>
    </font>
    <font>
      <sz val="11"/>
      <color indexed="16"/>
      <name val="Calibri"/>
      <family val="2"/>
      <charset val="204"/>
    </font>
    <font>
      <b/>
      <sz val="11"/>
      <color indexed="19"/>
      <name val="Calibri"/>
      <family val="2"/>
      <charset val="204"/>
    </font>
    <font>
      <b/>
      <sz val="11"/>
      <color indexed="9"/>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3"/>
      <name val="Calibri"/>
      <family val="2"/>
      <charset val="204"/>
    </font>
    <font>
      <sz val="11"/>
      <color indexed="19"/>
      <name val="Calibri"/>
      <family val="2"/>
      <charset val="204"/>
    </font>
    <font>
      <b/>
      <sz val="11"/>
      <color indexed="63"/>
      <name val="Calibri"/>
      <family val="2"/>
      <charset val="204"/>
    </font>
    <font>
      <sz val="11"/>
      <color indexed="10"/>
      <name val="Calibri"/>
      <family val="2"/>
      <charset val="204"/>
    </font>
    <font>
      <sz val="10"/>
      <name val="Arial"/>
      <family val="2"/>
      <charset val="204"/>
    </font>
    <font>
      <sz val="10"/>
      <name val="Arial"/>
      <family val="2"/>
    </font>
    <font>
      <u/>
      <sz val="10"/>
      <color indexed="12"/>
      <name val="Times Armenian"/>
      <family val="1"/>
    </font>
    <font>
      <sz val="9"/>
      <color indexed="81"/>
      <name val="Tahoma"/>
      <family val="2"/>
    </font>
    <font>
      <sz val="12"/>
      <name val="Times New Roman"/>
      <family val="1"/>
    </font>
    <font>
      <u/>
      <sz val="12"/>
      <color indexed="12"/>
      <name val="Times New Roman"/>
      <family val="1"/>
    </font>
    <font>
      <sz val="10"/>
      <name val="Arial"/>
      <family val="2"/>
    </font>
    <font>
      <sz val="10"/>
      <name val="Times Armenian"/>
    </font>
    <font>
      <b/>
      <sz val="10"/>
      <name val="GHEA Grapalat"/>
      <family val="3"/>
    </font>
    <font>
      <i/>
      <sz val="9.5"/>
      <color indexed="8"/>
      <name val="GHEA Grapalat"/>
      <family val="3"/>
    </font>
    <font>
      <sz val="11"/>
      <color theme="1"/>
      <name val="Calibri"/>
      <family val="2"/>
      <scheme val="minor"/>
    </font>
    <font>
      <sz val="11"/>
      <color theme="1"/>
      <name val="Times Armenian"/>
      <family val="2"/>
    </font>
    <font>
      <sz val="11"/>
      <color theme="0"/>
      <name val="Calibri"/>
      <family val="2"/>
      <scheme val="minor"/>
    </font>
    <font>
      <sz val="11"/>
      <color theme="0"/>
      <name val="Times Armenian"/>
      <family val="2"/>
    </font>
    <font>
      <sz val="11"/>
      <color rgb="FF9C0006"/>
      <name val="Times Armenian"/>
      <family val="2"/>
    </font>
    <font>
      <b/>
      <sz val="11"/>
      <color rgb="FFFA7D00"/>
      <name val="Times Armenian"/>
      <family val="2"/>
    </font>
    <font>
      <b/>
      <sz val="11"/>
      <color theme="0"/>
      <name val="Times Armenian"/>
      <family val="2"/>
    </font>
    <font>
      <i/>
      <sz val="11"/>
      <color rgb="FF7F7F7F"/>
      <name val="Times Armenian"/>
      <family val="2"/>
    </font>
    <font>
      <sz val="11"/>
      <color rgb="FF006100"/>
      <name val="Times Armenian"/>
      <family val="2"/>
    </font>
    <font>
      <b/>
      <sz val="15"/>
      <color theme="3"/>
      <name val="Times Armenian"/>
      <family val="2"/>
    </font>
    <font>
      <b/>
      <sz val="13"/>
      <color theme="3"/>
      <name val="Times Armenian"/>
      <family val="2"/>
    </font>
    <font>
      <b/>
      <sz val="11"/>
      <color theme="3"/>
      <name val="Times Armenian"/>
      <family val="2"/>
    </font>
    <font>
      <u/>
      <sz val="10"/>
      <color theme="10"/>
      <name val="Arial"/>
      <family val="2"/>
    </font>
    <font>
      <sz val="11"/>
      <color rgb="FF3F3F76"/>
      <name val="Times Armenian"/>
      <family val="2"/>
    </font>
    <font>
      <sz val="11"/>
      <color rgb="FFFA7D00"/>
      <name val="Times Armenian"/>
      <family val="2"/>
    </font>
    <font>
      <sz val="11"/>
      <color rgb="FF9C6500"/>
      <name val="Times Armenian"/>
      <family val="2"/>
    </font>
    <font>
      <sz val="11"/>
      <color theme="1"/>
      <name val="GHEA Grapalat"/>
      <family val="2"/>
    </font>
    <font>
      <b/>
      <sz val="11"/>
      <color rgb="FF3F3F3F"/>
      <name val="Times Armenian"/>
      <family val="2"/>
    </font>
    <font>
      <b/>
      <sz val="18"/>
      <color theme="3"/>
      <name val="Cambria"/>
      <family val="2"/>
      <scheme val="major"/>
    </font>
    <font>
      <b/>
      <sz val="11"/>
      <color theme="1"/>
      <name val="Times Armenian"/>
      <family val="2"/>
    </font>
    <font>
      <sz val="11"/>
      <color rgb="FFFF0000"/>
      <name val="Times Armenian"/>
      <family val="2"/>
    </font>
    <font>
      <sz val="9"/>
      <name val="Calibri"/>
      <family val="2"/>
      <scheme val="minor"/>
    </font>
    <font>
      <sz val="9"/>
      <color rgb="FFFF0000"/>
      <name val="Calibri"/>
      <family val="2"/>
      <scheme val="minor"/>
    </font>
    <font>
      <sz val="10"/>
      <color rgb="FF0070C0"/>
      <name val="Arial"/>
      <family val="2"/>
    </font>
    <font>
      <sz val="12"/>
      <name val="Times New Roman"/>
      <family val="1"/>
    </font>
    <font>
      <sz val="10"/>
      <name val="Arial"/>
      <family val="2"/>
    </font>
    <font>
      <sz val="12"/>
      <name val="Times New Roman"/>
      <family val="1"/>
    </font>
    <font>
      <sz val="10"/>
      <name val="Arial"/>
      <family val="2"/>
    </font>
    <font>
      <sz val="10"/>
      <color indexed="8"/>
      <name val="Arial Armenian"/>
      <family val="2"/>
    </font>
    <font>
      <sz val="10"/>
      <name val="Arial"/>
      <family val="2"/>
    </font>
    <font>
      <sz val="10"/>
      <name val="Arial"/>
      <family val="2"/>
    </font>
    <font>
      <sz val="10"/>
      <color indexed="8"/>
      <name val="Times Armenian"/>
      <family val="2"/>
    </font>
    <font>
      <sz val="10"/>
      <color indexed="9"/>
      <name val="Times Armenian"/>
      <family val="2"/>
    </font>
    <font>
      <sz val="10"/>
      <color indexed="20"/>
      <name val="Times Armenian"/>
      <family val="2"/>
    </font>
    <font>
      <b/>
      <sz val="10"/>
      <color indexed="52"/>
      <name val="Times Armenian"/>
      <family val="2"/>
    </font>
    <font>
      <b/>
      <sz val="10"/>
      <color indexed="9"/>
      <name val="Times Armenian"/>
      <family val="2"/>
    </font>
    <font>
      <i/>
      <sz val="10"/>
      <color indexed="23"/>
      <name val="Times Armenian"/>
      <family val="2"/>
    </font>
    <font>
      <sz val="10"/>
      <color indexed="17"/>
      <name val="Times Armenian"/>
      <family val="2"/>
    </font>
    <font>
      <sz val="10"/>
      <color indexed="62"/>
      <name val="Times Armenian"/>
      <family val="2"/>
    </font>
    <font>
      <sz val="10"/>
      <color indexed="52"/>
      <name val="Times Armenian"/>
      <family val="2"/>
    </font>
    <font>
      <sz val="10"/>
      <color indexed="60"/>
      <name val="Times Armenian"/>
      <family val="2"/>
    </font>
    <font>
      <b/>
      <sz val="10"/>
      <color indexed="63"/>
      <name val="Times Armenian"/>
      <family val="2"/>
    </font>
    <font>
      <b/>
      <sz val="10"/>
      <color indexed="8"/>
      <name val="Times Armenian"/>
      <family val="2"/>
    </font>
    <font>
      <sz val="10"/>
      <color indexed="10"/>
      <name val="Times Armenian"/>
      <family val="2"/>
    </font>
    <font>
      <u/>
      <sz val="10"/>
      <color indexed="12"/>
      <name val="Arial"/>
      <family val="2"/>
    </font>
    <font>
      <sz val="10"/>
      <name val="GHEA Grapalat"/>
      <family val="3"/>
    </font>
    <font>
      <b/>
      <sz val="9"/>
      <name val="GHEA Grapalat"/>
      <family val="3"/>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2"/>
      <name val="Times New Roman"/>
      <family val="1"/>
    </font>
    <font>
      <sz val="10"/>
      <color rgb="FF000000"/>
      <name val="Times New Roman"/>
      <family val="1"/>
    </font>
    <font>
      <sz val="10"/>
      <name val="Arial"/>
      <family val="2"/>
    </font>
    <font>
      <sz val="10"/>
      <color rgb="FF1F497D"/>
      <name val="Times New Roman"/>
      <family val="1"/>
    </font>
    <font>
      <sz val="10"/>
      <name val="Arial"/>
      <family val="2"/>
    </font>
  </fonts>
  <fills count="79">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45"/>
      </patternFill>
    </fill>
    <fill>
      <patternFill patternType="solid">
        <fgColor indexed="29"/>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2"/>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36"/>
      </patternFill>
    </fill>
    <fill>
      <patternFill patternType="solid">
        <fgColor indexed="52"/>
      </patternFill>
    </fill>
    <fill>
      <patternFill patternType="solid">
        <fgColor indexed="62"/>
      </patternFill>
    </fill>
    <fill>
      <patternFill patternType="solid">
        <fgColor indexed="47"/>
        <bgColor indexed="47"/>
      </patternFill>
    </fill>
    <fill>
      <patternFill patternType="solid">
        <fgColor indexed="22"/>
        <bgColor indexed="22"/>
      </patternFill>
    </fill>
    <fill>
      <patternFill patternType="solid">
        <fgColor indexed="44"/>
        <bgColor indexed="44"/>
      </patternFill>
    </fill>
    <fill>
      <patternFill patternType="solid">
        <fgColor indexed="27"/>
        <bgColor indexed="27"/>
      </patternFill>
    </fill>
    <fill>
      <patternFill patternType="solid">
        <fgColor indexed="30"/>
        <bgColor indexed="30"/>
      </patternFill>
    </fill>
    <fill>
      <patternFill patternType="solid">
        <fgColor indexed="56"/>
      </patternFill>
    </fill>
    <fill>
      <patternFill patternType="solid">
        <fgColor indexed="10"/>
      </patternFill>
    </fill>
    <fill>
      <patternFill patternType="solid">
        <fgColor indexed="55"/>
        <bgColor indexed="55"/>
      </patternFill>
    </fill>
    <fill>
      <patternFill patternType="solid">
        <fgColor indexed="53"/>
        <bgColor indexed="53"/>
      </patternFill>
    </fill>
    <fill>
      <patternFill patternType="solid">
        <fgColor indexed="57"/>
      </patternFill>
    </fill>
    <fill>
      <patternFill patternType="solid">
        <fgColor indexed="51"/>
        <bgColor indexed="51"/>
      </patternFill>
    </fill>
    <fill>
      <patternFill patternType="solid">
        <fgColor indexed="45"/>
        <bgColor indexed="45"/>
      </patternFill>
    </fill>
    <fill>
      <patternFill patternType="solid">
        <fgColor indexed="54"/>
        <bgColor indexed="54"/>
      </patternFill>
    </fill>
    <fill>
      <patternFill patternType="solid">
        <fgColor indexed="54"/>
      </patternFill>
    </fill>
    <fill>
      <patternFill patternType="solid">
        <fgColor indexed="49"/>
        <bgColor indexed="49"/>
      </patternFill>
    </fill>
    <fill>
      <patternFill patternType="solid">
        <fgColor indexed="26"/>
        <bgColor indexed="26"/>
      </patternFill>
    </fill>
    <fill>
      <patternFill patternType="solid">
        <fgColor indexed="43"/>
        <bgColor indexed="43"/>
      </patternFill>
    </fill>
    <fill>
      <patternFill patternType="solid">
        <fgColor indexed="29"/>
        <bgColor indexed="29"/>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42"/>
        <bgColor indexed="42"/>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87">
    <border>
      <left/>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30"/>
      </bottom>
      <diagonal/>
    </border>
    <border>
      <left/>
      <right/>
      <top/>
      <bottom style="thick">
        <color indexed="22"/>
      </bottom>
      <diagonal/>
    </border>
    <border>
      <left/>
      <right/>
      <top/>
      <bottom style="thick">
        <color indexed="27"/>
      </bottom>
      <diagonal/>
    </border>
    <border>
      <left/>
      <right/>
      <top/>
      <bottom style="thick">
        <color indexed="44"/>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right/>
      <top/>
      <bottom style="double">
        <color indexed="2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30"/>
      </top>
      <bottom style="double">
        <color indexed="30"/>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30"/>
      </top>
      <bottom style="double">
        <color indexed="3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30"/>
      </top>
      <bottom style="double">
        <color indexed="3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30"/>
      </top>
      <bottom style="double">
        <color indexed="30"/>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30"/>
      </top>
      <bottom style="double">
        <color indexed="3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30"/>
      </top>
      <bottom style="double">
        <color indexed="3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30"/>
      </top>
      <bottom style="double">
        <color indexed="30"/>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30"/>
      </top>
      <bottom style="double">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30"/>
      </top>
      <bottom style="double">
        <color indexed="3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30"/>
      </top>
      <bottom style="double">
        <color indexed="3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1045">
    <xf numFmtId="0" fontId="0" fillId="0" borderId="0"/>
    <xf numFmtId="6" fontId="26" fillId="0" borderId="0" applyFont="0" applyFill="0" applyBorder="0" applyAlignment="0" applyProtection="0"/>
    <xf numFmtId="6" fontId="26" fillId="0" borderId="0" applyFont="0" applyFill="0" applyBorder="0" applyAlignment="0" applyProtection="0"/>
    <xf numFmtId="6" fontId="26" fillId="0" borderId="0" applyFont="0" applyFill="0" applyBorder="0" applyAlignment="0" applyProtection="0"/>
    <xf numFmtId="0" fontId="35" fillId="0" borderId="0" applyProtection="0"/>
    <xf numFmtId="0" fontId="35" fillId="0" borderId="0" applyProtection="0"/>
    <xf numFmtId="184" fontId="35" fillId="0" borderId="0" applyProtection="0"/>
    <xf numFmtId="0" fontId="35" fillId="0" borderId="0"/>
    <xf numFmtId="0" fontId="35" fillId="0" borderId="0"/>
    <xf numFmtId="184" fontId="35" fillId="0" borderId="0"/>
    <xf numFmtId="0" fontId="35" fillId="0" borderId="1" applyProtection="0"/>
    <xf numFmtId="0" fontId="35" fillId="0" borderId="1" applyProtection="0"/>
    <xf numFmtId="184" fontId="35" fillId="0" borderId="1" applyProtection="0"/>
    <xf numFmtId="2" fontId="35" fillId="0" borderId="0" applyProtection="0"/>
    <xf numFmtId="4" fontId="35" fillId="0" borderId="0" applyProtection="0"/>
    <xf numFmtId="0" fontId="36" fillId="0" borderId="0" applyProtection="0"/>
    <xf numFmtId="0" fontId="36" fillId="0" borderId="0" applyProtection="0"/>
    <xf numFmtId="184" fontId="36" fillId="0" borderId="0" applyProtection="0"/>
    <xf numFmtId="0" fontId="37" fillId="0" borderId="0" applyProtection="0"/>
    <xf numFmtId="0" fontId="37" fillId="0" borderId="0" applyProtection="0"/>
    <xf numFmtId="184" fontId="37" fillId="0" borderId="0" applyProtection="0"/>
    <xf numFmtId="0" fontId="35" fillId="0" borderId="1" applyProtection="0"/>
    <xf numFmtId="0" fontId="35" fillId="0" borderId="0"/>
    <xf numFmtId="184" fontId="35" fillId="0" borderId="0"/>
    <xf numFmtId="184" fontId="35" fillId="0" borderId="0" applyProtection="0"/>
    <xf numFmtId="6" fontId="26" fillId="0" borderId="0" applyFont="0" applyFill="0" applyBorder="0" applyAlignment="0" applyProtection="0"/>
    <xf numFmtId="6" fontId="26" fillId="0" borderId="0" applyFont="0" applyFill="0" applyBorder="0" applyAlignment="0" applyProtection="0"/>
    <xf numFmtId="6" fontId="26" fillId="0" borderId="0" applyFont="0" applyFill="0" applyBorder="0" applyAlignment="0" applyProtection="0"/>
    <xf numFmtId="171" fontId="18" fillId="0" borderId="0" applyFont="0" applyFill="0" applyBorder="0" applyAlignment="0" applyProtection="0"/>
    <xf numFmtId="171" fontId="50" fillId="0" borderId="0" applyFont="0" applyFill="0" applyBorder="0" applyAlignment="0" applyProtection="0"/>
    <xf numFmtId="172" fontId="18" fillId="0" borderId="0" applyFont="0" applyFill="0" applyBorder="0" applyAlignment="0" applyProtection="0"/>
    <xf numFmtId="172" fontId="50" fillId="0" borderId="0" applyFont="0" applyFill="0" applyBorder="0" applyAlignment="0" applyProtection="0"/>
    <xf numFmtId="0" fontId="33" fillId="2" borderId="0" applyNumberFormat="0" applyBorder="0" applyAlignment="0" applyProtection="0"/>
    <xf numFmtId="0" fontId="58" fillId="3" borderId="0" applyNumberFormat="0" applyBorder="0" applyAlignment="0" applyProtection="0"/>
    <xf numFmtId="0" fontId="102" fillId="47" borderId="0" applyNumberFormat="0" applyBorder="0" applyAlignment="0" applyProtection="0"/>
    <xf numFmtId="0" fontId="101" fillId="47" borderId="0" applyNumberFormat="0" applyBorder="0" applyAlignment="0" applyProtection="0"/>
    <xf numFmtId="0" fontId="101" fillId="47" borderId="0" applyNumberFormat="0" applyBorder="0" applyAlignment="0" applyProtection="0"/>
    <xf numFmtId="0" fontId="101" fillId="47" borderId="0" applyNumberFormat="0" applyBorder="0" applyAlignment="0" applyProtection="0"/>
    <xf numFmtId="184" fontId="33" fillId="3" borderId="0" applyNumberFormat="0" applyBorder="0" applyAlignment="0" applyProtection="0"/>
    <xf numFmtId="0" fontId="33" fillId="3" borderId="0" applyNumberFormat="0" applyBorder="0" applyAlignment="0" applyProtection="0"/>
    <xf numFmtId="0" fontId="33" fillId="5" borderId="0" applyNumberFormat="0" applyBorder="0" applyAlignment="0" applyProtection="0"/>
    <xf numFmtId="0" fontId="58" fillId="6" borderId="0" applyNumberFormat="0" applyBorder="0" applyAlignment="0" applyProtection="0"/>
    <xf numFmtId="0" fontId="102" fillId="48" borderId="0" applyNumberFormat="0" applyBorder="0" applyAlignment="0" applyProtection="0"/>
    <xf numFmtId="184" fontId="33" fillId="6" borderId="0" applyNumberFormat="0" applyBorder="0" applyAlignment="0" applyProtection="0"/>
    <xf numFmtId="0" fontId="33" fillId="6" borderId="0" applyNumberFormat="0" applyBorder="0" applyAlignment="0" applyProtection="0"/>
    <xf numFmtId="0" fontId="33" fillId="8" borderId="0" applyNumberFormat="0" applyBorder="0" applyAlignment="0" applyProtection="0"/>
    <xf numFmtId="0" fontId="58" fillId="9" borderId="0" applyNumberFormat="0" applyBorder="0" applyAlignment="0" applyProtection="0"/>
    <xf numFmtId="0" fontId="102" fillId="49" borderId="0" applyNumberFormat="0" applyBorder="0" applyAlignment="0" applyProtection="0"/>
    <xf numFmtId="184"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58" fillId="7" borderId="0" applyNumberFormat="0" applyBorder="0" applyAlignment="0" applyProtection="0"/>
    <xf numFmtId="0" fontId="102" fillId="50" borderId="0" applyNumberFormat="0" applyBorder="0" applyAlignment="0" applyProtection="0"/>
    <xf numFmtId="184" fontId="33" fillId="11" borderId="0" applyNumberFormat="0" applyBorder="0" applyAlignment="0" applyProtection="0"/>
    <xf numFmtId="0" fontId="33" fillId="7" borderId="0" applyNumberFormat="0" applyBorder="0" applyAlignment="0" applyProtection="0"/>
    <xf numFmtId="0" fontId="33" fillId="12" borderId="0" applyNumberFormat="0" applyBorder="0" applyAlignment="0" applyProtection="0"/>
    <xf numFmtId="0" fontId="58" fillId="12" borderId="0" applyNumberFormat="0" applyBorder="0" applyAlignment="0" applyProtection="0"/>
    <xf numFmtId="0" fontId="102" fillId="51" borderId="0" applyNumberFormat="0" applyBorder="0" applyAlignment="0" applyProtection="0"/>
    <xf numFmtId="184" fontId="33" fillId="12" borderId="0" applyNumberFormat="0" applyBorder="0" applyAlignment="0" applyProtection="0"/>
    <xf numFmtId="0" fontId="33" fillId="7" borderId="0" applyNumberFormat="0" applyBorder="0" applyAlignment="0" applyProtection="0"/>
    <xf numFmtId="0" fontId="58" fillId="9" borderId="0" applyNumberFormat="0" applyBorder="0" applyAlignment="0" applyProtection="0"/>
    <xf numFmtId="0" fontId="102" fillId="52" borderId="0" applyNumberFormat="0" applyBorder="0" applyAlignment="0" applyProtection="0"/>
    <xf numFmtId="184" fontId="33" fillId="9" borderId="0" applyNumberFormat="0" applyBorder="0" applyAlignment="0" applyProtection="0"/>
    <xf numFmtId="0" fontId="33" fillId="9" borderId="0" applyNumberFormat="0" applyBorder="0" applyAlignment="0" applyProtection="0"/>
    <xf numFmtId="173" fontId="18" fillId="0" borderId="0" applyFont="0" applyFill="0" applyBorder="0" applyAlignment="0" applyProtection="0"/>
    <xf numFmtId="173" fontId="50" fillId="0" borderId="0" applyFont="0" applyFill="0" applyBorder="0" applyAlignment="0" applyProtection="0"/>
    <xf numFmtId="174" fontId="18" fillId="0" borderId="0" applyFont="0" applyFill="0" applyBorder="0" applyAlignment="0" applyProtection="0"/>
    <xf numFmtId="174" fontId="50" fillId="0" borderId="0" applyFont="0" applyFill="0" applyBorder="0" applyAlignment="0" applyProtection="0"/>
    <xf numFmtId="0" fontId="33" fillId="3" borderId="0" applyNumberFormat="0" applyBorder="0" applyAlignment="0" applyProtection="0"/>
    <xf numFmtId="0" fontId="58" fillId="12" borderId="0" applyNumberFormat="0" applyBorder="0" applyAlignment="0" applyProtection="0"/>
    <xf numFmtId="0" fontId="102" fillId="53" borderId="0" applyNumberFormat="0" applyBorder="0" applyAlignment="0" applyProtection="0"/>
    <xf numFmtId="184" fontId="33" fillId="12" borderId="0" applyNumberFormat="0" applyBorder="0" applyAlignment="0" applyProtection="0"/>
    <xf numFmtId="0" fontId="33" fillId="12" borderId="0" applyNumberFormat="0" applyBorder="0" applyAlignment="0" applyProtection="0"/>
    <xf numFmtId="0" fontId="33" fillId="6" borderId="0" applyNumberFormat="0" applyBorder="0" applyAlignment="0" applyProtection="0"/>
    <xf numFmtId="0" fontId="58" fillId="6" borderId="0" applyNumberFormat="0" applyBorder="0" applyAlignment="0" applyProtection="0"/>
    <xf numFmtId="0" fontId="102" fillId="54" borderId="0" applyNumberFormat="0" applyBorder="0" applyAlignment="0" applyProtection="0"/>
    <xf numFmtId="184" fontId="33" fillId="6" borderId="0" applyNumberFormat="0" applyBorder="0" applyAlignment="0" applyProtection="0"/>
    <xf numFmtId="0" fontId="33" fillId="13" borderId="0" applyNumberFormat="0" applyBorder="0" applyAlignment="0" applyProtection="0"/>
    <xf numFmtId="0" fontId="58" fillId="14" borderId="0" applyNumberFormat="0" applyBorder="0" applyAlignment="0" applyProtection="0"/>
    <xf numFmtId="0" fontId="102" fillId="55" borderId="0" applyNumberFormat="0" applyBorder="0" applyAlignment="0" applyProtection="0"/>
    <xf numFmtId="184" fontId="33" fillId="14"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58" fillId="5" borderId="0" applyNumberFormat="0" applyBorder="0" applyAlignment="0" applyProtection="0"/>
    <xf numFmtId="0" fontId="102" fillId="56" borderId="0" applyNumberFormat="0" applyBorder="0" applyAlignment="0" applyProtection="0"/>
    <xf numFmtId="184" fontId="33" fillId="5" borderId="0" applyNumberFormat="0" applyBorder="0" applyAlignment="0" applyProtection="0"/>
    <xf numFmtId="0" fontId="33" fillId="5" borderId="0" applyNumberFormat="0" applyBorder="0" applyAlignment="0" applyProtection="0"/>
    <xf numFmtId="0" fontId="33" fillId="3" borderId="0" applyNumberFormat="0" applyBorder="0" applyAlignment="0" applyProtection="0"/>
    <xf numFmtId="0" fontId="58" fillId="12" borderId="0" applyNumberFormat="0" applyBorder="0" applyAlignment="0" applyProtection="0"/>
    <xf numFmtId="0" fontId="102" fillId="57" borderId="0" applyNumberFormat="0" applyBorder="0" applyAlignment="0" applyProtection="0"/>
    <xf numFmtId="184" fontId="33" fillId="12" borderId="0" applyNumberFormat="0" applyBorder="0" applyAlignment="0" applyProtection="0"/>
    <xf numFmtId="0" fontId="33" fillId="12" borderId="0" applyNumberFormat="0" applyBorder="0" applyAlignment="0" applyProtection="0"/>
    <xf numFmtId="0" fontId="33" fillId="15" borderId="0" applyNumberFormat="0" applyBorder="0" applyAlignment="0" applyProtection="0"/>
    <xf numFmtId="0" fontId="58" fillId="9" borderId="0" applyNumberFormat="0" applyBorder="0" applyAlignment="0" applyProtection="0"/>
    <xf numFmtId="0" fontId="102" fillId="58" borderId="0" applyNumberFormat="0" applyBorder="0" applyAlignment="0" applyProtection="0"/>
    <xf numFmtId="184" fontId="33" fillId="9" borderId="0" applyNumberFormat="0" applyBorder="0" applyAlignment="0" applyProtection="0"/>
    <xf numFmtId="0" fontId="33" fillId="9" borderId="0" applyNumberFormat="0" applyBorder="0" applyAlignment="0" applyProtection="0"/>
    <xf numFmtId="179" fontId="50" fillId="0" borderId="0" applyFont="0" applyFill="0" applyBorder="0" applyAlignment="0" applyProtection="0"/>
    <xf numFmtId="0" fontId="38" fillId="16" borderId="0" applyNumberFormat="0" applyBorder="0" applyAlignment="0" applyProtection="0"/>
    <xf numFmtId="0" fontId="59" fillId="12" borderId="0" applyNumberFormat="0" applyBorder="0" applyAlignment="0" applyProtection="0"/>
    <xf numFmtId="0" fontId="104" fillId="59" borderId="0" applyNumberFormat="0" applyBorder="0" applyAlignment="0" applyProtection="0"/>
    <xf numFmtId="184" fontId="38" fillId="12" borderId="0" applyNumberFormat="0" applyBorder="0" applyAlignment="0" applyProtection="0"/>
    <xf numFmtId="0" fontId="38" fillId="12" borderId="0" applyNumberFormat="0" applyBorder="0" applyAlignment="0" applyProtection="0"/>
    <xf numFmtId="0" fontId="38" fillId="6" borderId="0" applyNumberFormat="0" applyBorder="0" applyAlignment="0" applyProtection="0"/>
    <xf numFmtId="0" fontId="59" fillId="18" borderId="0" applyNumberFormat="0" applyBorder="0" applyAlignment="0" applyProtection="0"/>
    <xf numFmtId="0" fontId="104" fillId="60" borderId="0" applyNumberFormat="0" applyBorder="0" applyAlignment="0" applyProtection="0"/>
    <xf numFmtId="0" fontId="103" fillId="60" borderId="0" applyNumberFormat="0" applyBorder="0" applyAlignment="0" applyProtection="0"/>
    <xf numFmtId="184" fontId="38" fillId="18"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59" fillId="15" borderId="0" applyNumberFormat="0" applyBorder="0" applyAlignment="0" applyProtection="0"/>
    <xf numFmtId="0" fontId="104" fillId="61"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0" fontId="38" fillId="19" borderId="0" applyNumberFormat="0" applyBorder="0" applyAlignment="0" applyProtection="0"/>
    <xf numFmtId="0" fontId="59" fillId="5" borderId="0" applyNumberFormat="0" applyBorder="0" applyAlignment="0" applyProtection="0"/>
    <xf numFmtId="0" fontId="104" fillId="62" borderId="0" applyNumberFormat="0" applyBorder="0" applyAlignment="0" applyProtection="0"/>
    <xf numFmtId="184" fontId="38" fillId="5" borderId="0" applyNumberFormat="0" applyBorder="0" applyAlignment="0" applyProtection="0"/>
    <xf numFmtId="0" fontId="38" fillId="5" borderId="0" applyNumberFormat="0" applyBorder="0" applyAlignment="0" applyProtection="0"/>
    <xf numFmtId="0" fontId="38" fillId="17" borderId="0" applyNumberFormat="0" applyBorder="0" applyAlignment="0" applyProtection="0"/>
    <xf numFmtId="0" fontId="59" fillId="12" borderId="0" applyNumberFormat="0" applyBorder="0" applyAlignment="0" applyProtection="0"/>
    <xf numFmtId="0" fontId="104" fillId="63" borderId="0" applyNumberFormat="0" applyBorder="0" applyAlignment="0" applyProtection="0"/>
    <xf numFmtId="184" fontId="38" fillId="12" borderId="0" applyNumberFormat="0" applyBorder="0" applyAlignment="0" applyProtection="0"/>
    <xf numFmtId="0" fontId="104" fillId="63" borderId="0" applyNumberFormat="0" applyBorder="0" applyAlignment="0" applyProtection="0"/>
    <xf numFmtId="0" fontId="38" fillId="12" borderId="0" applyNumberFormat="0" applyBorder="0" applyAlignment="0" applyProtection="0"/>
    <xf numFmtId="0" fontId="38" fillId="20" borderId="0" applyNumberFormat="0" applyBorder="0" applyAlignment="0" applyProtection="0"/>
    <xf numFmtId="0" fontId="59" fillId="6" borderId="0" applyNumberFormat="0" applyBorder="0" applyAlignment="0" applyProtection="0"/>
    <xf numFmtId="0" fontId="104" fillId="64" borderId="0" applyNumberFormat="0" applyBorder="0" applyAlignment="0" applyProtection="0"/>
    <xf numFmtId="184" fontId="38" fillId="6" borderId="0" applyNumberFormat="0" applyBorder="0" applyAlignment="0" applyProtection="0"/>
    <xf numFmtId="0" fontId="38" fillId="6" borderId="0" applyNumberFormat="0" applyBorder="0" applyAlignment="0" applyProtection="0"/>
    <xf numFmtId="9" fontId="15" fillId="0" borderId="0"/>
    <xf numFmtId="0" fontId="29" fillId="22" borderId="0" applyNumberFormat="0" applyBorder="0" applyAlignment="0" applyProtection="0"/>
    <xf numFmtId="184" fontId="29" fillId="23" borderId="0" applyNumberFormat="0" applyBorder="0" applyAlignment="0" applyProtection="0"/>
    <xf numFmtId="0" fontId="29" fillId="24" borderId="0" applyNumberFormat="0" applyBorder="0" applyAlignment="0" applyProtection="0"/>
    <xf numFmtId="184" fontId="29" fillId="24" borderId="0" applyNumberFormat="0" applyBorder="0" applyAlignment="0" applyProtection="0"/>
    <xf numFmtId="0" fontId="30" fillId="25" borderId="0" applyNumberFormat="0" applyBorder="0" applyAlignment="0" applyProtection="0"/>
    <xf numFmtId="184" fontId="30" fillId="25"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8" fillId="21" borderId="0" applyNumberFormat="0" applyBorder="0" applyAlignment="0" applyProtection="0"/>
    <xf numFmtId="0" fontId="59" fillId="27" borderId="0" applyNumberFormat="0" applyBorder="0" applyAlignment="0" applyProtection="0"/>
    <xf numFmtId="0" fontId="30" fillId="26" borderId="0" applyNumberFormat="0" applyBorder="0" applyAlignment="0" applyProtection="0"/>
    <xf numFmtId="0" fontId="104" fillId="65" borderId="0" applyNumberFormat="0" applyBorder="0" applyAlignment="0" applyProtection="0"/>
    <xf numFmtId="0" fontId="38" fillId="21"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8" fillId="21" borderId="0" applyNumberFormat="0" applyBorder="0" applyAlignment="0" applyProtection="0"/>
    <xf numFmtId="184" fontId="30" fillId="26" borderId="0" applyNumberFormat="0" applyBorder="0" applyAlignment="0" applyProtection="0"/>
    <xf numFmtId="0" fontId="30" fillId="26" borderId="0" applyNumberFormat="0" applyBorder="0" applyAlignment="0" applyProtection="0"/>
    <xf numFmtId="0" fontId="38" fillId="21" borderId="0" applyNumberFormat="0" applyBorder="0" applyAlignment="0" applyProtection="0"/>
    <xf numFmtId="0" fontId="30" fillId="26" borderId="0" applyNumberFormat="0" applyBorder="0" applyAlignment="0" applyProtection="0"/>
    <xf numFmtId="0" fontId="38" fillId="21" borderId="0" applyNumberFormat="0" applyBorder="0" applyAlignment="0" applyProtection="0"/>
    <xf numFmtId="0" fontId="30" fillId="26" borderId="0" applyNumberFormat="0" applyBorder="0" applyAlignment="0" applyProtection="0"/>
    <xf numFmtId="0" fontId="38" fillId="21" borderId="0" applyNumberFormat="0" applyBorder="0" applyAlignment="0" applyProtection="0"/>
    <xf numFmtId="0" fontId="30" fillId="26" borderId="0" applyNumberFormat="0" applyBorder="0" applyAlignment="0" applyProtection="0"/>
    <xf numFmtId="0" fontId="38" fillId="21"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29" fillId="22" borderId="0" applyNumberFormat="0" applyBorder="0" applyAlignment="0" applyProtection="0"/>
    <xf numFmtId="184" fontId="29" fillId="23" borderId="0" applyNumberFormat="0" applyBorder="0" applyAlignment="0" applyProtection="0"/>
    <xf numFmtId="0" fontId="29" fillId="23" borderId="0" applyNumberFormat="0" applyBorder="0" applyAlignment="0" applyProtection="0"/>
    <xf numFmtId="184" fontId="29" fillId="23" borderId="0" applyNumberFormat="0" applyBorder="0" applyAlignment="0" applyProtection="0"/>
    <xf numFmtId="0" fontId="30" fillId="29" borderId="0" applyNumberFormat="0" applyBorder="0" applyAlignment="0" applyProtection="0"/>
    <xf numFmtId="184"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8" fillId="28" borderId="0" applyNumberFormat="0" applyBorder="0" applyAlignment="0" applyProtection="0"/>
    <xf numFmtId="0" fontId="59" fillId="18" borderId="0" applyNumberFormat="0" applyBorder="0" applyAlignment="0" applyProtection="0"/>
    <xf numFmtId="0" fontId="30" fillId="30" borderId="0" applyNumberFormat="0" applyBorder="0" applyAlignment="0" applyProtection="0"/>
    <xf numFmtId="0" fontId="104" fillId="66" borderId="0" applyNumberFormat="0" applyBorder="0" applyAlignment="0" applyProtection="0"/>
    <xf numFmtId="0" fontId="38" fillId="28"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8" fillId="28" borderId="0" applyNumberFormat="0" applyBorder="0" applyAlignment="0" applyProtection="0"/>
    <xf numFmtId="184" fontId="30" fillId="30" borderId="0" applyNumberFormat="0" applyBorder="0" applyAlignment="0" applyProtection="0"/>
    <xf numFmtId="0" fontId="30" fillId="30" borderId="0" applyNumberFormat="0" applyBorder="0" applyAlignment="0" applyProtection="0"/>
    <xf numFmtId="0" fontId="38" fillId="28" borderId="0" applyNumberFormat="0" applyBorder="0" applyAlignment="0" applyProtection="0"/>
    <xf numFmtId="0" fontId="30" fillId="30" borderId="0" applyNumberFormat="0" applyBorder="0" applyAlignment="0" applyProtection="0"/>
    <xf numFmtId="0" fontId="38" fillId="28" borderId="0" applyNumberFormat="0" applyBorder="0" applyAlignment="0" applyProtection="0"/>
    <xf numFmtId="0" fontId="30" fillId="30" borderId="0" applyNumberFormat="0" applyBorder="0" applyAlignment="0" applyProtection="0"/>
    <xf numFmtId="0" fontId="38" fillId="28" borderId="0" applyNumberFormat="0" applyBorder="0" applyAlignment="0" applyProtection="0"/>
    <xf numFmtId="0" fontId="30" fillId="30" borderId="0" applyNumberFormat="0" applyBorder="0" applyAlignment="0" applyProtection="0"/>
    <xf numFmtId="0" fontId="38" fillId="28"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29" fillId="22" borderId="0" applyNumberFormat="0" applyBorder="0" applyAlignment="0" applyProtection="0"/>
    <xf numFmtId="184" fontId="29" fillId="23" borderId="0" applyNumberFormat="0" applyBorder="0" applyAlignment="0" applyProtection="0"/>
    <xf numFmtId="0" fontId="29" fillId="22" borderId="0" applyNumberFormat="0" applyBorder="0" applyAlignment="0" applyProtection="0"/>
    <xf numFmtId="184" fontId="29" fillId="23" borderId="0" applyNumberFormat="0" applyBorder="0" applyAlignment="0" applyProtection="0"/>
    <xf numFmtId="0" fontId="30" fillId="23" borderId="0" applyNumberFormat="0" applyBorder="0" applyAlignment="0" applyProtection="0"/>
    <xf numFmtId="184" fontId="30" fillId="2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8" fillId="31" borderId="0" applyNumberFormat="0" applyBorder="0" applyAlignment="0" applyProtection="0"/>
    <xf numFmtId="0" fontId="59" fillId="15" borderId="0" applyNumberFormat="0" applyBorder="0" applyAlignment="0" applyProtection="0"/>
    <xf numFmtId="0" fontId="30" fillId="32" borderId="0" applyNumberFormat="0" applyBorder="0" applyAlignment="0" applyProtection="0"/>
    <xf numFmtId="0" fontId="104" fillId="67" borderId="0" applyNumberFormat="0" applyBorder="0" applyAlignment="0" applyProtection="0"/>
    <xf numFmtId="0" fontId="38"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8" fillId="31" borderId="0" applyNumberFormat="0" applyBorder="0" applyAlignment="0" applyProtection="0"/>
    <xf numFmtId="184" fontId="30" fillId="32" borderId="0" applyNumberFormat="0" applyBorder="0" applyAlignment="0" applyProtection="0"/>
    <xf numFmtId="0" fontId="30" fillId="32" borderId="0" applyNumberFormat="0" applyBorder="0" applyAlignment="0" applyProtection="0"/>
    <xf numFmtId="0" fontId="38" fillId="31" borderId="0" applyNumberFormat="0" applyBorder="0" applyAlignment="0" applyProtection="0"/>
    <xf numFmtId="0" fontId="30" fillId="32" borderId="0" applyNumberFormat="0" applyBorder="0" applyAlignment="0" applyProtection="0"/>
    <xf numFmtId="0" fontId="38" fillId="31" borderId="0" applyNumberFormat="0" applyBorder="0" applyAlignment="0" applyProtection="0"/>
    <xf numFmtId="0" fontId="30" fillId="32" borderId="0" applyNumberFormat="0" applyBorder="0" applyAlignment="0" applyProtection="0"/>
    <xf numFmtId="0" fontId="38" fillId="31" borderId="0" applyNumberFormat="0" applyBorder="0" applyAlignment="0" applyProtection="0"/>
    <xf numFmtId="0" fontId="30" fillId="32" borderId="0" applyNumberFormat="0" applyBorder="0" applyAlignment="0" applyProtection="0"/>
    <xf numFmtId="0" fontId="38"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9" fillId="22" borderId="0" applyNumberFormat="0" applyBorder="0" applyAlignment="0" applyProtection="0"/>
    <xf numFmtId="184" fontId="29" fillId="23" borderId="0" applyNumberFormat="0" applyBorder="0" applyAlignment="0" applyProtection="0"/>
    <xf numFmtId="0" fontId="29" fillId="23" borderId="0" applyNumberFormat="0" applyBorder="0" applyAlignment="0" applyProtection="0"/>
    <xf numFmtId="184" fontId="29" fillId="23" borderId="0" applyNumberFormat="0" applyBorder="0" applyAlignment="0" applyProtection="0"/>
    <xf numFmtId="0" fontId="30" fillId="33" borderId="0" applyNumberFormat="0" applyBorder="0" applyAlignment="0" applyProtection="0"/>
    <xf numFmtId="184" fontId="30" fillId="33"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8" fillId="19" borderId="0" applyNumberFormat="0" applyBorder="0" applyAlignment="0" applyProtection="0"/>
    <xf numFmtId="0" fontId="59" fillId="35" borderId="0" applyNumberFormat="0" applyBorder="0" applyAlignment="0" applyProtection="0"/>
    <xf numFmtId="0" fontId="30" fillId="34" borderId="0" applyNumberFormat="0" applyBorder="0" applyAlignment="0" applyProtection="0"/>
    <xf numFmtId="0" fontId="104" fillId="68" borderId="0" applyNumberFormat="0" applyBorder="0" applyAlignment="0" applyProtection="0"/>
    <xf numFmtId="0" fontId="38" fillId="19"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8" fillId="19" borderId="0" applyNumberFormat="0" applyBorder="0" applyAlignment="0" applyProtection="0"/>
    <xf numFmtId="184" fontId="30" fillId="34" borderId="0" applyNumberFormat="0" applyBorder="0" applyAlignment="0" applyProtection="0"/>
    <xf numFmtId="0" fontId="30" fillId="34" borderId="0" applyNumberFormat="0" applyBorder="0" applyAlignment="0" applyProtection="0"/>
    <xf numFmtId="0" fontId="38" fillId="19" borderId="0" applyNumberFormat="0" applyBorder="0" applyAlignment="0" applyProtection="0"/>
    <xf numFmtId="0" fontId="30" fillId="34" borderId="0" applyNumberFormat="0" applyBorder="0" applyAlignment="0" applyProtection="0"/>
    <xf numFmtId="0" fontId="38" fillId="19" borderId="0" applyNumberFormat="0" applyBorder="0" applyAlignment="0" applyProtection="0"/>
    <xf numFmtId="0" fontId="30" fillId="34" borderId="0" applyNumberFormat="0" applyBorder="0" applyAlignment="0" applyProtection="0"/>
    <xf numFmtId="0" fontId="38" fillId="19" borderId="0" applyNumberFormat="0" applyBorder="0" applyAlignment="0" applyProtection="0"/>
    <xf numFmtId="0" fontId="30" fillId="34" borderId="0" applyNumberFormat="0" applyBorder="0" applyAlignment="0" applyProtection="0"/>
    <xf numFmtId="0" fontId="38" fillId="19"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29" fillId="22" borderId="0" applyNumberFormat="0" applyBorder="0" applyAlignment="0" applyProtection="0"/>
    <xf numFmtId="184" fontId="29" fillId="23" borderId="0" applyNumberFormat="0" applyBorder="0" applyAlignment="0" applyProtection="0"/>
    <xf numFmtId="0" fontId="29" fillId="25" borderId="0" applyNumberFormat="0" applyBorder="0" applyAlignment="0" applyProtection="0"/>
    <xf numFmtId="184" fontId="29" fillId="25" borderId="0" applyNumberFormat="0" applyBorder="0" applyAlignment="0" applyProtection="0"/>
    <xf numFmtId="0" fontId="30" fillId="25" borderId="0" applyNumberFormat="0" applyBorder="0" applyAlignment="0" applyProtection="0"/>
    <xf numFmtId="184"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8" fillId="17" borderId="0" applyNumberFormat="0" applyBorder="0" applyAlignment="0" applyProtection="0"/>
    <xf numFmtId="0" fontId="59" fillId="17" borderId="0" applyNumberFormat="0" applyBorder="0" applyAlignment="0" applyProtection="0"/>
    <xf numFmtId="0" fontId="30" fillId="36" borderId="0" applyNumberFormat="0" applyBorder="0" applyAlignment="0" applyProtection="0"/>
    <xf numFmtId="0" fontId="104" fillId="69" borderId="0" applyNumberFormat="0" applyBorder="0" applyAlignment="0" applyProtection="0"/>
    <xf numFmtId="0" fontId="38" fillId="1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8" fillId="17" borderId="0" applyNumberFormat="0" applyBorder="0" applyAlignment="0" applyProtection="0"/>
    <xf numFmtId="184" fontId="30" fillId="36" borderId="0" applyNumberFormat="0" applyBorder="0" applyAlignment="0" applyProtection="0"/>
    <xf numFmtId="0" fontId="30" fillId="36" borderId="0" applyNumberFormat="0" applyBorder="0" applyAlignment="0" applyProtection="0"/>
    <xf numFmtId="0" fontId="38" fillId="17" borderId="0" applyNumberFormat="0" applyBorder="0" applyAlignment="0" applyProtection="0"/>
    <xf numFmtId="0" fontId="30" fillId="36" borderId="0" applyNumberFormat="0" applyBorder="0" applyAlignment="0" applyProtection="0"/>
    <xf numFmtId="0" fontId="38" fillId="17" borderId="0" applyNumberFormat="0" applyBorder="0" applyAlignment="0" applyProtection="0"/>
    <xf numFmtId="0" fontId="30" fillId="36" borderId="0" applyNumberFormat="0" applyBorder="0" applyAlignment="0" applyProtection="0"/>
    <xf numFmtId="0" fontId="38" fillId="17" borderId="0" applyNumberFormat="0" applyBorder="0" applyAlignment="0" applyProtection="0"/>
    <xf numFmtId="0" fontId="30" fillId="36" borderId="0" applyNumberFormat="0" applyBorder="0" applyAlignment="0" applyProtection="0"/>
    <xf numFmtId="0" fontId="38" fillId="1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22" borderId="0" applyNumberFormat="0" applyBorder="0" applyAlignment="0" applyProtection="0"/>
    <xf numFmtId="184" fontId="29" fillId="23" borderId="0" applyNumberFormat="0" applyBorder="0" applyAlignment="0" applyProtection="0"/>
    <xf numFmtId="0" fontId="29" fillId="37" borderId="0" applyNumberFormat="0" applyBorder="0" applyAlignment="0" applyProtection="0"/>
    <xf numFmtId="184" fontId="29" fillId="37" borderId="0" applyNumberFormat="0" applyBorder="0" applyAlignment="0" applyProtection="0"/>
    <xf numFmtId="0" fontId="30" fillId="38" borderId="0" applyNumberFormat="0" applyBorder="0" applyAlignment="0" applyProtection="0"/>
    <xf numFmtId="184" fontId="30" fillId="3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8" fillId="18" borderId="0" applyNumberFormat="0" applyBorder="0" applyAlignment="0" applyProtection="0"/>
    <xf numFmtId="0" fontId="59" fillId="28" borderId="0" applyNumberFormat="0" applyBorder="0" applyAlignment="0" applyProtection="0"/>
    <xf numFmtId="0" fontId="30" fillId="39" borderId="0" applyNumberFormat="0" applyBorder="0" applyAlignment="0" applyProtection="0"/>
    <xf numFmtId="0" fontId="104" fillId="70" borderId="0" applyNumberFormat="0" applyBorder="0" applyAlignment="0" applyProtection="0"/>
    <xf numFmtId="0" fontId="38" fillId="1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8" fillId="18" borderId="0" applyNumberFormat="0" applyBorder="0" applyAlignment="0" applyProtection="0"/>
    <xf numFmtId="184" fontId="30" fillId="39" borderId="0" applyNumberFormat="0" applyBorder="0" applyAlignment="0" applyProtection="0"/>
    <xf numFmtId="0" fontId="30" fillId="39" borderId="0" applyNumberFormat="0" applyBorder="0" applyAlignment="0" applyProtection="0"/>
    <xf numFmtId="0" fontId="38" fillId="18" borderId="0" applyNumberFormat="0" applyBorder="0" applyAlignment="0" applyProtection="0"/>
    <xf numFmtId="0" fontId="30" fillId="39" borderId="0" applyNumberFormat="0" applyBorder="0" applyAlignment="0" applyProtection="0"/>
    <xf numFmtId="0" fontId="38" fillId="18" borderId="0" applyNumberFormat="0" applyBorder="0" applyAlignment="0" applyProtection="0"/>
    <xf numFmtId="0" fontId="30" fillId="39" borderId="0" applyNumberFormat="0" applyBorder="0" applyAlignment="0" applyProtection="0"/>
    <xf numFmtId="0" fontId="38" fillId="18" borderId="0" applyNumberFormat="0" applyBorder="0" applyAlignment="0" applyProtection="0"/>
    <xf numFmtId="0" fontId="30" fillId="39" borderId="0" applyNumberFormat="0" applyBorder="0" applyAlignment="0" applyProtection="0"/>
    <xf numFmtId="0" fontId="38" fillId="1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6" fontId="26" fillId="0" borderId="0" applyFont="0" applyFill="0" applyBorder="0" applyAlignment="0" applyProtection="0"/>
    <xf numFmtId="0" fontId="39" fillId="5" borderId="0" applyNumberFormat="0" applyBorder="0" applyAlignment="0" applyProtection="0"/>
    <xf numFmtId="0" fontId="60" fillId="10" borderId="0" applyNumberFormat="0" applyBorder="0" applyAlignment="0" applyProtection="0"/>
    <xf numFmtId="0" fontId="80" fillId="37" borderId="0" applyNumberFormat="0" applyBorder="0" applyAlignment="0" applyProtection="0"/>
    <xf numFmtId="0" fontId="105" fillId="71" borderId="0" applyNumberFormat="0" applyBorder="0" applyAlignment="0" applyProtection="0"/>
    <xf numFmtId="0" fontId="39" fillId="5" borderId="0" applyNumberFormat="0" applyBorder="0" applyAlignment="0" applyProtection="0"/>
    <xf numFmtId="0" fontId="80" fillId="37" borderId="0" applyNumberFormat="0" applyBorder="0" applyAlignment="0" applyProtection="0"/>
    <xf numFmtId="184" fontId="80" fillId="37"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4" fontId="27" fillId="0" borderId="0" applyNumberFormat="0" applyFill="0" applyBorder="0" applyAlignment="0" applyProtection="0"/>
    <xf numFmtId="0" fontId="40" fillId="11" borderId="2" applyNumberFormat="0" applyAlignment="0" applyProtection="0"/>
    <xf numFmtId="0" fontId="73" fillId="4" borderId="2" applyNumberFormat="0" applyAlignment="0" applyProtection="0"/>
    <xf numFmtId="0" fontId="81" fillId="40" borderId="2" applyNumberFormat="0" applyAlignment="0" applyProtection="0"/>
    <xf numFmtId="0" fontId="106" fillId="72" borderId="21" applyNumberFormat="0" applyAlignment="0" applyProtection="0"/>
    <xf numFmtId="0" fontId="40" fillId="11" borderId="2" applyNumberFormat="0" applyAlignment="0" applyProtection="0"/>
    <xf numFmtId="0" fontId="81" fillId="40" borderId="2" applyNumberFormat="0" applyAlignment="0" applyProtection="0"/>
    <xf numFmtId="184" fontId="81" fillId="40" borderId="2" applyNumberFormat="0" applyAlignment="0" applyProtection="0"/>
    <xf numFmtId="0" fontId="81" fillId="40" borderId="2" applyNumberFormat="0" applyAlignment="0" applyProtection="0"/>
    <xf numFmtId="0" fontId="81" fillId="40" borderId="2" applyNumberFormat="0" applyAlignment="0" applyProtection="0"/>
    <xf numFmtId="0" fontId="81" fillId="40" borderId="2" applyNumberFormat="0" applyAlignment="0" applyProtection="0"/>
    <xf numFmtId="0" fontId="81" fillId="40" borderId="2" applyNumberFormat="0" applyAlignment="0" applyProtection="0"/>
    <xf numFmtId="0" fontId="41" fillId="41" borderId="3" applyNumberFormat="0" applyAlignment="0" applyProtection="0"/>
    <xf numFmtId="0" fontId="61" fillId="41" borderId="3" applyNumberFormat="0" applyAlignment="0" applyProtection="0"/>
    <xf numFmtId="0" fontId="82" fillId="29" borderId="3" applyNumberFormat="0" applyAlignment="0" applyProtection="0"/>
    <xf numFmtId="0" fontId="107" fillId="73" borderId="22" applyNumberFormat="0" applyAlignment="0" applyProtection="0"/>
    <xf numFmtId="0" fontId="41" fillId="41" borderId="3" applyNumberFormat="0" applyAlignment="0" applyProtection="0"/>
    <xf numFmtId="0" fontId="82" fillId="29" borderId="3" applyNumberFormat="0" applyAlignment="0" applyProtection="0"/>
    <xf numFmtId="184" fontId="82" fillId="29" borderId="3" applyNumberFormat="0" applyAlignment="0" applyProtection="0"/>
    <xf numFmtId="0" fontId="82" fillId="29" borderId="3" applyNumberFormat="0" applyAlignment="0" applyProtection="0"/>
    <xf numFmtId="0" fontId="107" fillId="73" borderId="22" applyNumberFormat="0" applyAlignment="0" applyProtection="0"/>
    <xf numFmtId="0" fontId="82" fillId="29" borderId="3" applyNumberFormat="0" applyAlignment="0" applyProtection="0"/>
    <xf numFmtId="0" fontId="82" fillId="29" borderId="3" applyNumberFormat="0" applyAlignment="0" applyProtection="0"/>
    <xf numFmtId="0" fontId="82" fillId="29" borderId="3" applyNumberFormat="0" applyAlignment="0" applyProtection="0"/>
    <xf numFmtId="43" fontId="8" fillId="0" borderId="0" applyFont="0" applyFill="0" applyBorder="0" applyAlignment="0" applyProtection="0"/>
    <xf numFmtId="186" fontId="20" fillId="0" borderId="0" applyFont="0" applyFill="0" applyBorder="0" applyAlignment="0" applyProtection="0"/>
    <xf numFmtId="43" fontId="20" fillId="0" borderId="0" applyFont="0" applyFill="0" applyBorder="0" applyAlignment="0" applyProtection="0"/>
    <xf numFmtId="43" fontId="97" fillId="0" borderId="0" applyFont="0" applyFill="0" applyBorder="0" applyAlignment="0" applyProtection="0"/>
    <xf numFmtId="185" fontId="98"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20" fillId="0" borderId="0" applyFont="0" applyFill="0" applyBorder="0" applyAlignment="0" applyProtection="0"/>
    <xf numFmtId="43" fontId="69" fillId="0" borderId="0" applyFont="0" applyFill="0" applyBorder="0" applyAlignment="0" applyProtection="0"/>
    <xf numFmtId="43" fontId="102"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01" fillId="0" borderId="0" applyFont="0" applyFill="0" applyBorder="0" applyAlignment="0" applyProtection="0"/>
    <xf numFmtId="43" fontId="15" fillId="0" borderId="0" applyFont="0" applyFill="0" applyBorder="0" applyAlignment="0" applyProtection="0"/>
    <xf numFmtId="186" fontId="20"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185" fontId="20" fillId="0" borderId="0" applyFont="0" applyFill="0" applyBorder="0" applyAlignment="0" applyProtection="0"/>
    <xf numFmtId="43" fontId="91" fillId="0" borderId="0" applyFont="0" applyFill="0" applyBorder="0" applyAlignment="0" applyProtection="0"/>
    <xf numFmtId="43" fontId="18"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185" fontId="20" fillId="0" borderId="0" applyFont="0" applyFill="0" applyBorder="0" applyAlignment="0" applyProtection="0"/>
    <xf numFmtId="43" fontId="18" fillId="0" borderId="0" applyFont="0" applyFill="0" applyBorder="0" applyAlignment="0" applyProtection="0"/>
    <xf numFmtId="186" fontId="15" fillId="0" borderId="0" applyFont="0" applyFill="0" applyBorder="0" applyAlignment="0" applyProtection="0"/>
    <xf numFmtId="43" fontId="20" fillId="0" borderId="0" applyFont="0" applyFill="0" applyBorder="0" applyAlignment="0" applyProtection="0"/>
    <xf numFmtId="43" fontId="33" fillId="0" borderId="0" applyFont="0" applyFill="0" applyBorder="0" applyAlignment="0" applyProtection="0"/>
    <xf numFmtId="186" fontId="15" fillId="0" borderId="0" applyFont="0" applyFill="0" applyBorder="0" applyAlignment="0" applyProtection="0"/>
    <xf numFmtId="43" fontId="92"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186" fontId="97" fillId="0" borderId="0" applyFont="0" applyFill="0" applyBorder="0" applyAlignment="0" applyProtection="0"/>
    <xf numFmtId="43" fontId="20" fillId="0" borderId="0" applyFont="0" applyFill="0" applyBorder="0" applyAlignment="0" applyProtection="0"/>
    <xf numFmtId="175" fontId="42" fillId="0" borderId="0">
      <protection locked="0"/>
    </xf>
    <xf numFmtId="0" fontId="10" fillId="0" borderId="0" applyFont="0" applyFill="0" applyBorder="0" applyAlignment="0" applyProtection="0"/>
    <xf numFmtId="0" fontId="10" fillId="0" borderId="0" applyFont="0" applyFill="0" applyBorder="0" applyAlignment="0" applyProtection="0"/>
    <xf numFmtId="0" fontId="31" fillId="42" borderId="0" applyNumberFormat="0" applyBorder="0" applyAlignment="0" applyProtection="0"/>
    <xf numFmtId="184" fontId="31" fillId="42" borderId="0" applyNumberFormat="0" applyBorder="0" applyAlignment="0" applyProtection="0"/>
    <xf numFmtId="0" fontId="31" fillId="43" borderId="0" applyNumberFormat="0" applyBorder="0" applyAlignment="0" applyProtection="0"/>
    <xf numFmtId="184" fontId="31" fillId="43" borderId="0" applyNumberFormat="0" applyBorder="0" applyAlignment="0" applyProtection="0"/>
    <xf numFmtId="0" fontId="31" fillId="44" borderId="0" applyNumberFormat="0" applyBorder="0" applyAlignment="0" applyProtection="0"/>
    <xf numFmtId="184" fontId="31" fillId="44" borderId="0" applyNumberFormat="0" applyBorder="0" applyAlignment="0" applyProtection="0"/>
    <xf numFmtId="169" fontId="32" fillId="0" borderId="0" applyFont="0" applyFill="0" applyBorder="0" applyAlignment="0" applyProtection="0"/>
    <xf numFmtId="169" fontId="9" fillId="0" borderId="0" applyFont="0" applyFill="0" applyBorder="0" applyAlignment="0" applyProtection="0"/>
    <xf numFmtId="169" fontId="32" fillId="0" borderId="0" applyFont="0" applyFill="0" applyBorder="0" applyAlignment="0" applyProtection="0"/>
    <xf numFmtId="187" fontId="15" fillId="0" borderId="0" applyFont="0" applyFill="0" applyBorder="0" applyAlignment="0" applyProtection="0"/>
    <xf numFmtId="184" fontId="32" fillId="0" borderId="0" applyFont="0" applyFill="0" applyBorder="0" applyAlignment="0" applyProtection="0"/>
    <xf numFmtId="176" fontId="43" fillId="0" borderId="0"/>
    <xf numFmtId="0" fontId="44" fillId="0" borderId="0" applyNumberFormat="0" applyFill="0" applyBorder="0" applyAlignment="0" applyProtection="0"/>
    <xf numFmtId="0" fontId="62" fillId="0" borderId="0" applyNumberFormat="0" applyFill="0" applyBorder="0" applyAlignment="0" applyProtection="0"/>
    <xf numFmtId="0" fontId="108" fillId="0" borderId="0" applyNumberFormat="0" applyFill="0" applyBorder="0" applyAlignment="0" applyProtection="0"/>
    <xf numFmtId="184" fontId="44" fillId="0" borderId="0" applyNumberFormat="0" applyFill="0" applyBorder="0" applyAlignment="0" applyProtection="0"/>
    <xf numFmtId="0" fontId="42" fillId="0" borderId="0">
      <protection locked="0"/>
    </xf>
    <xf numFmtId="0" fontId="42" fillId="0" borderId="0">
      <protection locked="0"/>
    </xf>
    <xf numFmtId="184" fontId="42" fillId="0" borderId="0">
      <protection locked="0"/>
    </xf>
    <xf numFmtId="0" fontId="45" fillId="8" borderId="0" applyNumberFormat="0" applyBorder="0" applyAlignment="0" applyProtection="0"/>
    <xf numFmtId="0" fontId="63" fillId="12" borderId="0" applyNumberFormat="0" applyBorder="0" applyAlignment="0" applyProtection="0"/>
    <xf numFmtId="0" fontId="83" fillId="45" borderId="0" applyNumberFormat="0" applyBorder="0" applyAlignment="0" applyProtection="0"/>
    <xf numFmtId="0" fontId="109" fillId="74" borderId="0" applyNumberFormat="0" applyBorder="0" applyAlignment="0" applyProtection="0"/>
    <xf numFmtId="0" fontId="45" fillId="8" borderId="0" applyNumberFormat="0" applyBorder="0" applyAlignment="0" applyProtection="0"/>
    <xf numFmtId="0" fontId="83" fillId="45" borderId="0" applyNumberFormat="0" applyBorder="0" applyAlignment="0" applyProtection="0"/>
    <xf numFmtId="184"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46" fillId="0" borderId="4" applyNumberFormat="0" applyFill="0" applyAlignment="0" applyProtection="0"/>
    <xf numFmtId="0" fontId="74" fillId="0" borderId="5" applyNumberFormat="0" applyFill="0" applyAlignment="0" applyProtection="0"/>
    <xf numFmtId="0" fontId="84" fillId="0" borderId="6" applyNumberFormat="0" applyFill="0" applyAlignment="0" applyProtection="0"/>
    <xf numFmtId="0" fontId="110" fillId="0" borderId="23" applyNumberFormat="0" applyFill="0" applyAlignment="0" applyProtection="0"/>
    <xf numFmtId="0" fontId="46" fillId="0" borderId="4" applyNumberFormat="0" applyFill="0" applyAlignment="0" applyProtection="0"/>
    <xf numFmtId="0" fontId="84" fillId="0" borderId="6" applyNumberFormat="0" applyFill="0" applyAlignment="0" applyProtection="0"/>
    <xf numFmtId="184" fontId="84" fillId="0" borderId="6" applyNumberFormat="0" applyFill="0" applyAlignment="0" applyProtection="0"/>
    <xf numFmtId="0" fontId="84" fillId="0" borderId="6" applyNumberFormat="0" applyFill="0" applyAlignment="0" applyProtection="0"/>
    <xf numFmtId="0" fontId="84" fillId="0" borderId="6" applyNumberFormat="0" applyFill="0" applyAlignment="0" applyProtection="0"/>
    <xf numFmtId="0" fontId="84" fillId="0" borderId="6" applyNumberFormat="0" applyFill="0" applyAlignment="0" applyProtection="0"/>
    <xf numFmtId="0" fontId="84" fillId="0" borderId="6" applyNumberFormat="0" applyFill="0" applyAlignment="0" applyProtection="0"/>
    <xf numFmtId="0" fontId="47" fillId="0" borderId="7" applyNumberFormat="0" applyFill="0" applyAlignment="0" applyProtection="0"/>
    <xf numFmtId="0" fontId="75" fillId="0" borderId="8" applyNumberFormat="0" applyFill="0" applyAlignment="0" applyProtection="0"/>
    <xf numFmtId="0" fontId="85" fillId="0" borderId="9" applyNumberFormat="0" applyFill="0" applyAlignment="0" applyProtection="0"/>
    <xf numFmtId="0" fontId="111" fillId="0" borderId="24" applyNumberFormat="0" applyFill="0" applyAlignment="0" applyProtection="0"/>
    <xf numFmtId="0" fontId="47" fillId="0" borderId="7" applyNumberFormat="0" applyFill="0" applyAlignment="0" applyProtection="0"/>
    <xf numFmtId="0" fontId="85" fillId="0" borderId="9" applyNumberFormat="0" applyFill="0" applyAlignment="0" applyProtection="0"/>
    <xf numFmtId="184" fontId="85" fillId="0" borderId="9" applyNumberFormat="0" applyFill="0" applyAlignment="0" applyProtection="0"/>
    <xf numFmtId="0" fontId="85" fillId="0" borderId="9" applyNumberFormat="0" applyFill="0" applyAlignment="0" applyProtection="0"/>
    <xf numFmtId="0" fontId="85" fillId="0" borderId="9" applyNumberFormat="0" applyFill="0" applyAlignment="0" applyProtection="0"/>
    <xf numFmtId="0" fontId="85" fillId="0" borderId="9" applyNumberFormat="0" applyFill="0" applyAlignment="0" applyProtection="0"/>
    <xf numFmtId="0" fontId="85" fillId="0" borderId="9" applyNumberFormat="0" applyFill="0" applyAlignment="0" applyProtection="0"/>
    <xf numFmtId="0" fontId="48" fillId="0" borderId="10" applyNumberFormat="0" applyFill="0" applyAlignment="0" applyProtection="0"/>
    <xf numFmtId="0" fontId="76" fillId="0" borderId="11" applyNumberFormat="0" applyFill="0" applyAlignment="0" applyProtection="0"/>
    <xf numFmtId="0" fontId="86" fillId="0" borderId="11" applyNumberFormat="0" applyFill="0" applyAlignment="0" applyProtection="0"/>
    <xf numFmtId="0" fontId="112" fillId="0" borderId="25" applyNumberFormat="0" applyFill="0" applyAlignment="0" applyProtection="0"/>
    <xf numFmtId="0" fontId="48" fillId="0" borderId="10" applyNumberFormat="0" applyFill="0" applyAlignment="0" applyProtection="0"/>
    <xf numFmtId="0" fontId="86" fillId="0" borderId="11" applyNumberFormat="0" applyFill="0" applyAlignment="0" applyProtection="0"/>
    <xf numFmtId="184"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48" fillId="0" borderId="0" applyNumberFormat="0" applyFill="0" applyBorder="0" applyAlignment="0" applyProtection="0"/>
    <xf numFmtId="0" fontId="76" fillId="0" borderId="0" applyNumberFormat="0" applyFill="0" applyBorder="0" applyAlignment="0" applyProtection="0"/>
    <xf numFmtId="0" fontId="86" fillId="0" borderId="0" applyNumberFormat="0" applyFill="0" applyBorder="0" applyAlignment="0" applyProtection="0"/>
    <xf numFmtId="0" fontId="112" fillId="0" borderId="0" applyNumberFormat="0" applyFill="0" applyBorder="0" applyAlignment="0" applyProtection="0"/>
    <xf numFmtId="0" fontId="48" fillId="0" borderId="0" applyNumberFormat="0" applyFill="0" applyBorder="0" applyAlignment="0" applyProtection="0"/>
    <xf numFmtId="0" fontId="86" fillId="0" borderId="0" applyNumberFormat="0" applyFill="0" applyBorder="0" applyAlignment="0" applyProtection="0"/>
    <xf numFmtId="184"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49" fillId="0" borderId="0">
      <protection locked="0"/>
    </xf>
    <xf numFmtId="0" fontId="49" fillId="0" borderId="0">
      <protection locked="0"/>
    </xf>
    <xf numFmtId="184" fontId="49" fillId="0" borderId="0">
      <protection locked="0"/>
    </xf>
    <xf numFmtId="0" fontId="49" fillId="0" borderId="0">
      <protection locked="0"/>
    </xf>
    <xf numFmtId="0" fontId="49" fillId="0" borderId="0">
      <protection locked="0"/>
    </xf>
    <xf numFmtId="184" fontId="49" fillId="0" borderId="0">
      <protection locked="0"/>
    </xf>
    <xf numFmtId="0" fontId="93"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5" fillId="0" borderId="0"/>
    <xf numFmtId="177" fontId="18" fillId="0" borderId="0" applyFont="0" applyFill="0" applyBorder="0" applyAlignment="0" applyProtection="0"/>
    <xf numFmtId="165" fontId="50" fillId="0" borderId="0" applyFont="0" applyFill="0" applyBorder="0" applyAlignment="0" applyProtection="0"/>
    <xf numFmtId="3" fontId="50" fillId="0" borderId="0" applyFont="0" applyFill="0" applyBorder="0" applyAlignment="0" applyProtection="0"/>
    <xf numFmtId="0" fontId="51" fillId="7" borderId="2" applyNumberFormat="0" applyAlignment="0" applyProtection="0"/>
    <xf numFmtId="0" fontId="64" fillId="14" borderId="2" applyNumberFormat="0" applyAlignment="0" applyProtection="0"/>
    <xf numFmtId="0" fontId="87" fillId="38" borderId="2" applyNumberFormat="0" applyAlignment="0" applyProtection="0"/>
    <xf numFmtId="0" fontId="114" fillId="75" borderId="21" applyNumberFormat="0" applyAlignment="0" applyProtection="0"/>
    <xf numFmtId="0" fontId="51" fillId="7" borderId="2" applyNumberFormat="0" applyAlignment="0" applyProtection="0"/>
    <xf numFmtId="0" fontId="87" fillId="38" borderId="2" applyNumberFormat="0" applyAlignment="0" applyProtection="0"/>
    <xf numFmtId="184" fontId="87" fillId="38" borderId="2" applyNumberFormat="0" applyAlignment="0" applyProtection="0"/>
    <xf numFmtId="0" fontId="87" fillId="38" borderId="2" applyNumberFormat="0" applyAlignment="0" applyProtection="0"/>
    <xf numFmtId="0" fontId="87" fillId="38" borderId="2" applyNumberFormat="0" applyAlignment="0" applyProtection="0"/>
    <xf numFmtId="0" fontId="87" fillId="38" borderId="2" applyNumberFormat="0" applyAlignment="0" applyProtection="0"/>
    <xf numFmtId="0" fontId="87" fillId="38" borderId="2" applyNumberFormat="0" applyAlignment="0" applyProtection="0"/>
    <xf numFmtId="0" fontId="52" fillId="0" borderId="12" applyNumberFormat="0" applyFill="0" applyAlignment="0" applyProtection="0"/>
    <xf numFmtId="0" fontId="67" fillId="0" borderId="13" applyNumberFormat="0" applyFill="0" applyAlignment="0" applyProtection="0"/>
    <xf numFmtId="0" fontId="88" fillId="0" borderId="14" applyNumberFormat="0" applyFill="0" applyAlignment="0" applyProtection="0"/>
    <xf numFmtId="0" fontId="115" fillId="0" borderId="26" applyNumberFormat="0" applyFill="0" applyAlignment="0" applyProtection="0"/>
    <xf numFmtId="0" fontId="52" fillId="0" borderId="12" applyNumberFormat="0" applyFill="0" applyAlignment="0" applyProtection="0"/>
    <xf numFmtId="0" fontId="88" fillId="0" borderId="14" applyNumberFormat="0" applyFill="0" applyAlignment="0" applyProtection="0"/>
    <xf numFmtId="184" fontId="88" fillId="0" borderId="14" applyNumberFormat="0" applyFill="0" applyAlignment="0" applyProtection="0"/>
    <xf numFmtId="0" fontId="88" fillId="0" borderId="14" applyNumberFormat="0" applyFill="0" applyAlignment="0" applyProtection="0"/>
    <xf numFmtId="0" fontId="88" fillId="0" borderId="14" applyNumberFormat="0" applyFill="0" applyAlignment="0" applyProtection="0"/>
    <xf numFmtId="0" fontId="88" fillId="0" borderId="14" applyNumberFormat="0" applyFill="0" applyAlignment="0" applyProtection="0"/>
    <xf numFmtId="0" fontId="88" fillId="0" borderId="14" applyNumberFormat="0" applyFill="0" applyAlignment="0" applyProtection="0"/>
    <xf numFmtId="41" fontId="10"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0" fontId="53" fillId="14" borderId="0" applyNumberFormat="0" applyBorder="0" applyAlignment="0" applyProtection="0"/>
    <xf numFmtId="0" fontId="77" fillId="14" borderId="0" applyNumberFormat="0" applyBorder="0" applyAlignment="0" applyProtection="0"/>
    <xf numFmtId="0" fontId="88" fillId="38" borderId="0" applyNumberFormat="0" applyBorder="0" applyAlignment="0" applyProtection="0"/>
    <xf numFmtId="0" fontId="116" fillId="76" borderId="0" applyNumberFormat="0" applyBorder="0" applyAlignment="0" applyProtection="0"/>
    <xf numFmtId="0" fontId="53" fillId="14" borderId="0" applyNumberFormat="0" applyBorder="0" applyAlignment="0" applyProtection="0"/>
    <xf numFmtId="0" fontId="88" fillId="38" borderId="0" applyNumberFormat="0" applyBorder="0" applyAlignment="0" applyProtection="0"/>
    <xf numFmtId="184"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37" fontId="28" fillId="0" borderId="0"/>
    <xf numFmtId="0" fontId="10" fillId="0" borderId="0"/>
    <xf numFmtId="0" fontId="54" fillId="0" borderId="0"/>
    <xf numFmtId="0" fontId="10" fillId="0" borderId="0"/>
    <xf numFmtId="0" fontId="15" fillId="0" borderId="0"/>
    <xf numFmtId="0" fontId="10" fillId="0" borderId="0"/>
    <xf numFmtId="184" fontId="10" fillId="0" borderId="0"/>
    <xf numFmtId="0" fontId="15" fillId="0" borderId="0"/>
    <xf numFmtId="0" fontId="54" fillId="0" borderId="0"/>
    <xf numFmtId="0" fontId="54" fillId="0" borderId="0"/>
    <xf numFmtId="184" fontId="54" fillId="0" borderId="0"/>
    <xf numFmtId="0" fontId="54" fillId="0" borderId="0"/>
    <xf numFmtId="0" fontId="54" fillId="0" borderId="0"/>
    <xf numFmtId="184" fontId="54" fillId="0" borderId="0"/>
    <xf numFmtId="0" fontId="20" fillId="0" borderId="0"/>
    <xf numFmtId="0" fontId="69" fillId="0" borderId="0"/>
    <xf numFmtId="0" fontId="15" fillId="0" borderId="0"/>
    <xf numFmtId="0" fontId="20" fillId="0" borderId="0"/>
    <xf numFmtId="0" fontId="97" fillId="0" borderId="0"/>
    <xf numFmtId="0" fontId="98" fillId="0" borderId="0"/>
    <xf numFmtId="0" fontId="98" fillId="0" borderId="0"/>
    <xf numFmtId="0" fontId="98" fillId="0" borderId="0"/>
    <xf numFmtId="0" fontId="98" fillId="0" borderId="0"/>
    <xf numFmtId="0" fontId="20" fillId="0" borderId="0"/>
    <xf numFmtId="0" fontId="98" fillId="0" borderId="0"/>
    <xf numFmtId="0" fontId="98" fillId="0" borderId="0"/>
    <xf numFmtId="0" fontId="98" fillId="0" borderId="0"/>
    <xf numFmtId="0" fontId="20" fillId="0" borderId="0"/>
    <xf numFmtId="0" fontId="69" fillId="0" borderId="0"/>
    <xf numFmtId="0" fontId="91"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0" fontId="20" fillId="0" borderId="0"/>
    <xf numFmtId="0" fontId="20" fillId="0" borderId="0"/>
    <xf numFmtId="0" fontId="20" fillId="0" borderId="0"/>
    <xf numFmtId="0" fontId="20" fillId="0" borderId="0"/>
    <xf numFmtId="0" fontId="69" fillId="0" borderId="0"/>
    <xf numFmtId="0" fontId="101" fillId="0" borderId="0"/>
    <xf numFmtId="0" fontId="20" fillId="0" borderId="0"/>
    <xf numFmtId="0" fontId="20" fillId="0" borderId="0"/>
    <xf numFmtId="0" fontId="20" fillId="0" borderId="0"/>
    <xf numFmtId="0" fontId="20" fillId="0" borderId="0"/>
    <xf numFmtId="0" fontId="20" fillId="0" borderId="0"/>
    <xf numFmtId="0" fontId="69" fillId="0" borderId="0"/>
    <xf numFmtId="0" fontId="101" fillId="0" borderId="0"/>
    <xf numFmtId="0" fontId="69" fillId="0" borderId="0"/>
    <xf numFmtId="0" fontId="20" fillId="0" borderId="0"/>
    <xf numFmtId="0" fontId="101" fillId="0" borderId="0"/>
    <xf numFmtId="0" fontId="69" fillId="0" borderId="0"/>
    <xf numFmtId="0" fontId="20" fillId="0" borderId="0"/>
    <xf numFmtId="0" fontId="101" fillId="0" borderId="0"/>
    <xf numFmtId="0" fontId="69" fillId="0" borderId="0"/>
    <xf numFmtId="0" fontId="20" fillId="0" borderId="0"/>
    <xf numFmtId="0" fontId="101" fillId="0" borderId="0"/>
    <xf numFmtId="0" fontId="69" fillId="0" borderId="0"/>
    <xf numFmtId="184" fontId="20" fillId="0" borderId="0"/>
    <xf numFmtId="0" fontId="20" fillId="0" borderId="0"/>
    <xf numFmtId="0" fontId="101" fillId="0" borderId="0"/>
    <xf numFmtId="0" fontId="69" fillId="0" borderId="0"/>
    <xf numFmtId="0" fontId="20" fillId="0" borderId="0"/>
    <xf numFmtId="0" fontId="101" fillId="0" borderId="0"/>
    <xf numFmtId="0" fontId="69" fillId="0" borderId="0"/>
    <xf numFmtId="184" fontId="20" fillId="0" borderId="0"/>
    <xf numFmtId="0" fontId="20" fillId="0" borderId="0"/>
    <xf numFmtId="0" fontId="15" fillId="0" borderId="0"/>
    <xf numFmtId="0" fontId="15" fillId="0" borderId="0"/>
    <xf numFmtId="0" fontId="20" fillId="0" borderId="0"/>
    <xf numFmtId="0" fontId="33" fillId="0" borderId="0"/>
    <xf numFmtId="184" fontId="33" fillId="0" borderId="0"/>
    <xf numFmtId="0" fontId="20" fillId="0" borderId="0"/>
    <xf numFmtId="0" fontId="15" fillId="0" borderId="0"/>
    <xf numFmtId="0" fontId="10" fillId="0" borderId="0"/>
    <xf numFmtId="0" fontId="102" fillId="0" borderId="0"/>
    <xf numFmtId="0" fontId="20" fillId="0" borderId="0"/>
    <xf numFmtId="0" fontId="18" fillId="0" borderId="0"/>
    <xf numFmtId="0" fontId="15" fillId="0" borderId="0"/>
    <xf numFmtId="0" fontId="10" fillId="0" borderId="0"/>
    <xf numFmtId="0" fontId="2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1" fillId="0" borderId="0"/>
    <xf numFmtId="0" fontId="69" fillId="0" borderId="0"/>
    <xf numFmtId="0" fontId="101" fillId="0" borderId="0"/>
    <xf numFmtId="0" fontId="69" fillId="0" borderId="0"/>
    <xf numFmtId="0" fontId="101" fillId="0" borderId="0"/>
    <xf numFmtId="0" fontId="69" fillId="0" borderId="0"/>
    <xf numFmtId="0" fontId="101" fillId="0" borderId="0"/>
    <xf numFmtId="0" fontId="10" fillId="0" borderId="0"/>
    <xf numFmtId="0" fontId="101" fillId="0" borderId="0"/>
    <xf numFmtId="0" fontId="10" fillId="0" borderId="0"/>
    <xf numFmtId="0" fontId="15" fillId="0" borderId="0"/>
    <xf numFmtId="0" fontId="101" fillId="0" borderId="0"/>
    <xf numFmtId="0" fontId="10" fillId="0" borderId="0"/>
    <xf numFmtId="0" fontId="101" fillId="0" borderId="0"/>
    <xf numFmtId="0" fontId="10" fillId="0" borderId="0"/>
    <xf numFmtId="0" fontId="101" fillId="0" borderId="0"/>
    <xf numFmtId="0" fontId="10" fillId="0" borderId="0"/>
    <xf numFmtId="0" fontId="102" fillId="0" borderId="0"/>
    <xf numFmtId="0" fontId="10" fillId="0" borderId="0"/>
    <xf numFmtId="0" fontId="10" fillId="0" borderId="0"/>
    <xf numFmtId="0" fontId="22" fillId="0" borderId="0"/>
    <xf numFmtId="0" fontId="20" fillId="0" borderId="0"/>
    <xf numFmtId="0" fontId="101" fillId="0" borderId="0"/>
    <xf numFmtId="0" fontId="33" fillId="0" borderId="0"/>
    <xf numFmtId="0" fontId="15" fillId="0" borderId="0"/>
    <xf numFmtId="0" fontId="20" fillId="0" borderId="0"/>
    <xf numFmtId="0" fontId="69" fillId="0" borderId="0"/>
    <xf numFmtId="184" fontId="3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101" fillId="0" borderId="0"/>
    <xf numFmtId="0" fontId="69" fillId="0" borderId="0"/>
    <xf numFmtId="0" fontId="20" fillId="0" borderId="0"/>
    <xf numFmtId="0" fontId="58" fillId="0" borderId="0"/>
    <xf numFmtId="0" fontId="1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1" fillId="0" borderId="0"/>
    <xf numFmtId="0" fontId="33" fillId="0" borderId="0"/>
    <xf numFmtId="0" fontId="102" fillId="0" borderId="0"/>
    <xf numFmtId="0" fontId="69" fillId="0" borderId="0"/>
    <xf numFmtId="0" fontId="102"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xf numFmtId="0" fontId="101" fillId="0" borderId="0"/>
    <xf numFmtId="0" fontId="102" fillId="0" borderId="0"/>
    <xf numFmtId="0" fontId="69" fillId="0" borderId="0"/>
    <xf numFmtId="0" fontId="102" fillId="0" borderId="0"/>
    <xf numFmtId="0" fontId="101"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69" fillId="0" borderId="0"/>
    <xf numFmtId="0" fontId="10" fillId="0" borderId="0"/>
    <xf numFmtId="0" fontId="10" fillId="0" borderId="0"/>
    <xf numFmtId="0" fontId="10" fillId="0" borderId="0"/>
    <xf numFmtId="0" fontId="33" fillId="0" borderId="0"/>
    <xf numFmtId="0" fontId="69" fillId="0" borderId="0"/>
    <xf numFmtId="0" fontId="102" fillId="0" borderId="0"/>
    <xf numFmtId="0" fontId="101" fillId="0" borderId="0"/>
    <xf numFmtId="0" fontId="102"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9" fillId="0" borderId="0"/>
    <xf numFmtId="0" fontId="102" fillId="0" borderId="0"/>
    <xf numFmtId="0" fontId="101" fillId="0" borderId="0"/>
    <xf numFmtId="0" fontId="20" fillId="0" borderId="0"/>
    <xf numFmtId="0" fontId="20" fillId="0" borderId="0"/>
    <xf numFmtId="0" fontId="20" fillId="0" borderId="0"/>
    <xf numFmtId="0" fontId="20" fillId="0" borderId="0"/>
    <xf numFmtId="0" fontId="101" fillId="0" borderId="0"/>
    <xf numFmtId="0" fontId="92" fillId="0" borderId="0"/>
    <xf numFmtId="0" fontId="92" fillId="0" borderId="0"/>
    <xf numFmtId="0" fontId="92" fillId="0" borderId="0"/>
    <xf numFmtId="0" fontId="92" fillId="0" borderId="0"/>
    <xf numFmtId="0" fontId="92" fillId="0" borderId="0"/>
    <xf numFmtId="0" fontId="20" fillId="0" borderId="0"/>
    <xf numFmtId="0" fontId="69" fillId="0" borderId="0"/>
    <xf numFmtId="0" fontId="101" fillId="0" borderId="0"/>
    <xf numFmtId="0" fontId="20" fillId="0" borderId="0"/>
    <xf numFmtId="0" fontId="101" fillId="0" borderId="0"/>
    <xf numFmtId="0" fontId="92" fillId="0" borderId="0"/>
    <xf numFmtId="0" fontId="92" fillId="0" borderId="0"/>
    <xf numFmtId="0" fontId="92" fillId="0" borderId="0"/>
    <xf numFmtId="0" fontId="92" fillId="0" borderId="0"/>
    <xf numFmtId="0" fontId="95" fillId="0" borderId="0"/>
    <xf numFmtId="0" fontId="95" fillId="0" borderId="0"/>
    <xf numFmtId="0" fontId="97" fillId="0" borderId="0"/>
    <xf numFmtId="0" fontId="97" fillId="0" borderId="0"/>
    <xf numFmtId="0" fontId="97" fillId="0" borderId="0"/>
    <xf numFmtId="0" fontId="20" fillId="0" borderId="0"/>
    <xf numFmtId="180" fontId="10" fillId="0" borderId="0" applyFill="0" applyBorder="0" applyAlignment="0" applyProtection="0">
      <alignment horizontal="right"/>
    </xf>
    <xf numFmtId="0" fontId="10" fillId="0" borderId="0"/>
    <xf numFmtId="0" fontId="15" fillId="0" borderId="0"/>
    <xf numFmtId="0" fontId="97" fillId="0" borderId="0"/>
    <xf numFmtId="0" fontId="33" fillId="9" borderId="15" applyNumberFormat="0" applyFont="0" applyAlignment="0" applyProtection="0"/>
    <xf numFmtId="0" fontId="69" fillId="9" borderId="15" applyNumberFormat="0" applyFont="0" applyAlignment="0" applyProtection="0"/>
    <xf numFmtId="0" fontId="32" fillId="37" borderId="15" applyNumberFormat="0" applyFont="0" applyAlignment="0" applyProtection="0"/>
    <xf numFmtId="0" fontId="102" fillId="77" borderId="27" applyNumberFormat="0" applyFont="0" applyAlignment="0" applyProtection="0"/>
    <xf numFmtId="0" fontId="33" fillId="9" borderId="15" applyNumberFormat="0" applyFont="0" applyAlignment="0" applyProtection="0"/>
    <xf numFmtId="0" fontId="32" fillId="37" borderId="15" applyNumberFormat="0" applyFont="0" applyAlignment="0" applyProtection="0"/>
    <xf numFmtId="184" fontId="32" fillId="37" borderId="15" applyNumberFormat="0" applyFont="0" applyAlignment="0" applyProtection="0"/>
    <xf numFmtId="0" fontId="32" fillId="37" borderId="15" applyNumberFormat="0" applyFont="0" applyAlignment="0" applyProtection="0"/>
    <xf numFmtId="0" fontId="32" fillId="37" borderId="15" applyNumberFormat="0" applyFont="0" applyAlignment="0" applyProtection="0"/>
    <xf numFmtId="0" fontId="32" fillId="37" borderId="15" applyNumberFormat="0" applyFont="0" applyAlignment="0" applyProtection="0"/>
    <xf numFmtId="0" fontId="32" fillId="37" borderId="15" applyNumberFormat="0" applyFont="0" applyAlignment="0" applyProtection="0"/>
    <xf numFmtId="0" fontId="55" fillId="11" borderId="16" applyNumberFormat="0" applyAlignment="0" applyProtection="0"/>
    <xf numFmtId="0" fontId="65" fillId="4" borderId="16" applyNumberFormat="0" applyAlignment="0" applyProtection="0"/>
    <xf numFmtId="0" fontId="89" fillId="40" borderId="16" applyNumberFormat="0" applyAlignment="0" applyProtection="0"/>
    <xf numFmtId="0" fontId="118" fillId="72" borderId="28" applyNumberFormat="0" applyAlignment="0" applyProtection="0"/>
    <xf numFmtId="0" fontId="55" fillId="11" borderId="16" applyNumberFormat="0" applyAlignment="0" applyProtection="0"/>
    <xf numFmtId="0" fontId="89" fillId="40" borderId="16" applyNumberFormat="0" applyAlignment="0" applyProtection="0"/>
    <xf numFmtId="184" fontId="89" fillId="40" borderId="16" applyNumberFormat="0" applyAlignment="0" applyProtection="0"/>
    <xf numFmtId="0" fontId="89" fillId="40" borderId="16" applyNumberFormat="0" applyAlignment="0" applyProtection="0"/>
    <xf numFmtId="0" fontId="89" fillId="40" borderId="16" applyNumberFormat="0" applyAlignment="0" applyProtection="0"/>
    <xf numFmtId="0" fontId="89" fillId="40" borderId="16" applyNumberFormat="0" applyAlignment="0" applyProtection="0"/>
    <xf numFmtId="0" fontId="89" fillId="40" borderId="16" applyNumberFormat="0" applyAlignment="0" applyProtection="0"/>
    <xf numFmtId="9" fontId="10" fillId="0" borderId="0" applyFont="0" applyFill="0" applyBorder="0" applyAlignment="0" applyProtection="0"/>
    <xf numFmtId="9" fontId="15"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5"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92" fillId="0" borderId="0" applyFont="0" applyFill="0" applyBorder="0" applyAlignment="0" applyProtection="0"/>
    <xf numFmtId="9" fontId="18" fillId="0" borderId="0" applyFont="0" applyFill="0" applyBorder="0" applyAlignment="0" applyProtection="0"/>
    <xf numFmtId="9" fontId="97" fillId="0" borderId="0" applyFont="0" applyFill="0" applyBorder="0" applyAlignment="0" applyProtection="0"/>
    <xf numFmtId="178" fontId="18" fillId="0" borderId="0" applyFont="0" applyFill="0" applyBorder="0" applyAlignment="0" applyProtection="0"/>
    <xf numFmtId="178" fontId="50" fillId="0" borderId="0" applyFont="0" applyFill="0" applyBorder="0" applyAlignment="0" applyProtection="0"/>
    <xf numFmtId="0" fontId="50" fillId="0" borderId="0"/>
    <xf numFmtId="0" fontId="50" fillId="0" borderId="0"/>
    <xf numFmtId="184" fontId="50" fillId="0" borderId="0"/>
    <xf numFmtId="0" fontId="34" fillId="0" borderId="0" applyNumberFormat="0" applyFill="0" applyBorder="0" applyAlignment="0" applyProtection="0"/>
    <xf numFmtId="184" fontId="34" fillId="0" borderId="0" applyNumberFormat="0" applyFill="0" applyBorder="0" applyAlignment="0" applyProtection="0"/>
    <xf numFmtId="0" fontId="20" fillId="0" borderId="0"/>
    <xf numFmtId="6" fontId="26" fillId="0" borderId="0" applyFont="0" applyFill="0" applyBorder="0" applyAlignment="0" applyProtection="0"/>
    <xf numFmtId="0" fontId="20" fillId="0" borderId="0"/>
    <xf numFmtId="0" fontId="79" fillId="0" borderId="0"/>
    <xf numFmtId="6" fontId="26" fillId="0" borderId="0" applyFont="0" applyFill="0" applyBorder="0" applyAlignment="0" applyProtection="0"/>
    <xf numFmtId="184" fontId="20" fillId="0" borderId="0"/>
    <xf numFmtId="6" fontId="26" fillId="0" borderId="0" applyFont="0" applyFill="0" applyBorder="0" applyAlignment="0" applyProtection="0"/>
    <xf numFmtId="6" fontId="26" fillId="0" borderId="0" applyFont="0" applyFill="0" applyBorder="0" applyAlignment="0" applyProtection="0"/>
    <xf numFmtId="0" fontId="20" fillId="0" borderId="0" applyNumberFormat="0"/>
    <xf numFmtId="0" fontId="20" fillId="0" borderId="0" applyNumberFormat="0"/>
    <xf numFmtId="184" fontId="20" fillId="0" borderId="0" applyNumberFormat="0"/>
    <xf numFmtId="0" fontId="20" fillId="0" borderId="0" applyNumberFormat="0"/>
    <xf numFmtId="0" fontId="92" fillId="0" borderId="0" applyNumberFormat="0"/>
    <xf numFmtId="0" fontId="97" fillId="0" borderId="0" applyNumberFormat="0"/>
    <xf numFmtId="0" fontId="25" fillId="0" borderId="0" applyNumberFormat="0" applyFill="0" applyBorder="0" applyAlignment="0" applyProtection="0"/>
    <xf numFmtId="0" fontId="78" fillId="0" borderId="0" applyNumberFormat="0" applyFill="0" applyBorder="0" applyAlignment="0" applyProtection="0"/>
    <xf numFmtId="0" fontId="119" fillId="0" borderId="0" applyNumberFormat="0" applyFill="0" applyBorder="0" applyAlignment="0" applyProtection="0"/>
    <xf numFmtId="184" fontId="78" fillId="0" borderId="0" applyNumberFormat="0" applyFill="0" applyBorder="0" applyAlignment="0" applyProtection="0"/>
    <xf numFmtId="0" fontId="56" fillId="0" borderId="17" applyNumberFormat="0" applyFill="0" applyAlignment="0" applyProtection="0"/>
    <xf numFmtId="0" fontId="66" fillId="0" borderId="18" applyNumberFormat="0" applyFill="0" applyAlignment="0" applyProtection="0"/>
    <xf numFmtId="0" fontId="120" fillId="0" borderId="29" applyNumberFormat="0" applyFill="0" applyAlignment="0" applyProtection="0"/>
    <xf numFmtId="0" fontId="31" fillId="0" borderId="19" applyNumberFormat="0" applyFill="0" applyAlignment="0" applyProtection="0"/>
    <xf numFmtId="0" fontId="42" fillId="0" borderId="1">
      <protection locked="0"/>
    </xf>
    <xf numFmtId="0" fontId="56" fillId="0" borderId="17" applyNumberFormat="0" applyFill="0" applyAlignment="0" applyProtection="0"/>
    <xf numFmtId="0" fontId="31" fillId="0" borderId="19" applyNumberFormat="0" applyFill="0" applyAlignment="0" applyProtection="0"/>
    <xf numFmtId="0" fontId="42" fillId="0" borderId="1">
      <protection locked="0"/>
    </xf>
    <xf numFmtId="0" fontId="31" fillId="0" borderId="19" applyNumberFormat="0" applyFill="0" applyAlignment="0" applyProtection="0"/>
    <xf numFmtId="184" fontId="31" fillId="0" borderId="19" applyNumberFormat="0" applyFill="0" applyAlignment="0" applyProtection="0"/>
    <xf numFmtId="0" fontId="31" fillId="0" borderId="19" applyNumberFormat="0" applyFill="0" applyAlignment="0" applyProtection="0"/>
    <xf numFmtId="0" fontId="42" fillId="0" borderId="1">
      <protection locked="0"/>
    </xf>
    <xf numFmtId="0" fontId="31" fillId="0" borderId="19" applyNumberFormat="0" applyFill="0" applyAlignment="0" applyProtection="0"/>
    <xf numFmtId="0" fontId="31" fillId="0" borderId="19" applyNumberFormat="0" applyFill="0" applyAlignment="0" applyProtection="0"/>
    <xf numFmtId="0" fontId="20" fillId="0" borderId="0" applyFont="0" applyFill="0" applyBorder="0" applyAlignment="0" applyProtection="0"/>
    <xf numFmtId="0" fontId="20" fillId="0" borderId="0" applyFont="0" applyFill="0" applyBorder="0" applyAlignment="0" applyProtection="0"/>
    <xf numFmtId="184" fontId="20" fillId="0" borderId="0" applyFont="0" applyFill="0" applyBorder="0" applyAlignment="0" applyProtection="0"/>
    <xf numFmtId="0" fontId="20" fillId="0" borderId="0" applyFont="0" applyFill="0" applyBorder="0" applyAlignment="0" applyProtection="0"/>
    <xf numFmtId="0" fontId="92" fillId="0" borderId="0" applyFont="0" applyFill="0" applyBorder="0" applyAlignment="0" applyProtection="0"/>
    <xf numFmtId="0" fontId="20" fillId="0" borderId="0" applyFont="0" applyFill="0" applyBorder="0" applyAlignment="0" applyProtection="0"/>
    <xf numFmtId="0" fontId="97" fillId="0" borderId="0" applyFont="0" applyFill="0" applyBorder="0" applyAlignment="0" applyProtection="0"/>
    <xf numFmtId="42" fontId="20" fillId="0" borderId="0" applyFont="0" applyFill="0" applyBorder="0" applyAlignment="0" applyProtection="0"/>
    <xf numFmtId="44" fontId="20" fillId="0" borderId="0" applyFont="0" applyFill="0" applyBorder="0" applyAlignment="0" applyProtection="0"/>
    <xf numFmtId="0" fontId="57" fillId="0" borderId="0" applyNumberFormat="0" applyFill="0" applyBorder="0" applyAlignment="0" applyProtection="0"/>
    <xf numFmtId="0" fontId="67" fillId="0" borderId="0" applyNumberFormat="0" applyFill="0" applyBorder="0" applyAlignment="0" applyProtection="0"/>
    <xf numFmtId="0" fontId="90" fillId="0" borderId="0" applyNumberFormat="0" applyFill="0" applyBorder="0" applyAlignment="0" applyProtection="0"/>
    <xf numFmtId="0" fontId="121" fillId="0" borderId="0" applyNumberFormat="0" applyFill="0" applyBorder="0" applyAlignment="0" applyProtection="0"/>
    <xf numFmtId="0" fontId="57" fillId="0" borderId="0" applyNumberFormat="0" applyFill="0" applyBorder="0" applyAlignment="0" applyProtection="0"/>
    <xf numFmtId="0" fontId="90" fillId="0" borderId="0" applyNumberFormat="0" applyFill="0" applyBorder="0" applyAlignment="0" applyProtection="0"/>
    <xf numFmtId="184"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 fillId="0" borderId="0" applyNumberFormat="0" applyFont="0" applyFill="0" applyBorder="0" applyAlignment="0" applyProtection="0">
      <alignment vertical="top"/>
    </xf>
    <xf numFmtId="0" fontId="70" fillId="0" borderId="0" applyNumberFormat="0" applyFont="0" applyFill="0" applyBorder="0" applyAlignment="0" applyProtection="0">
      <alignment vertical="top"/>
    </xf>
    <xf numFmtId="0" fontId="70" fillId="0" borderId="0" applyNumberFormat="0" applyFont="0" applyFill="0" applyBorder="0" applyAlignment="0" applyProtection="0">
      <alignment vertical="top"/>
    </xf>
    <xf numFmtId="0" fontId="11" fillId="0" borderId="0" applyNumberFormat="0" applyFont="0" applyFill="0" applyBorder="0" applyAlignment="0" applyProtection="0"/>
    <xf numFmtId="0" fontId="11" fillId="0" borderId="0" applyNumberFormat="0" applyFont="0" applyFill="0" applyBorder="0" applyAlignment="0" applyProtection="0">
      <alignment horizontal="left" vertical="top"/>
    </xf>
    <xf numFmtId="0" fontId="11" fillId="0" borderId="0" applyNumberFormat="0" applyFont="0" applyFill="0" applyBorder="0" applyAlignment="0" applyProtection="0">
      <alignment horizontal="left" vertical="top"/>
    </xf>
    <xf numFmtId="0" fontId="11" fillId="0" borderId="0" applyNumberFormat="0" applyFont="0" applyFill="0" applyBorder="0" applyAlignment="0" applyProtection="0">
      <alignment horizontal="left" vertical="top"/>
    </xf>
    <xf numFmtId="0" fontId="10" fillId="0" borderId="0"/>
    <xf numFmtId="0" fontId="71" fillId="0" borderId="0">
      <alignment horizontal="left" wrapText="1"/>
    </xf>
    <xf numFmtId="0" fontId="72" fillId="0" borderId="20" applyNumberFormat="0" applyFont="0" applyFill="0" applyBorder="0" applyAlignment="0" applyProtection="0">
      <alignment horizontal="center" wrapText="1"/>
    </xf>
    <xf numFmtId="181" fontId="50" fillId="0" borderId="0" applyNumberFormat="0" applyFont="0" applyFill="0" applyBorder="0" applyAlignment="0" applyProtection="0">
      <alignment horizontal="right"/>
    </xf>
    <xf numFmtId="0" fontId="72" fillId="0" borderId="0" applyNumberFormat="0" applyFont="0" applyFill="0" applyBorder="0" applyAlignment="0" applyProtection="0">
      <alignment horizontal="left" indent="1"/>
    </xf>
    <xf numFmtId="182" fontId="72" fillId="0" borderId="0" applyNumberFormat="0" applyFont="0" applyFill="0" applyBorder="0" applyAlignment="0" applyProtection="0"/>
    <xf numFmtId="0" fontId="10" fillId="0" borderId="20" applyNumberFormat="0" applyFont="0" applyFill="0" applyAlignment="0" applyProtection="0">
      <alignment horizontal="center"/>
    </xf>
    <xf numFmtId="0" fontId="10" fillId="0" borderId="0" applyNumberFormat="0" applyFont="0" applyFill="0" applyBorder="0" applyAlignment="0" applyProtection="0">
      <alignment horizontal="left" wrapText="1" indent="1"/>
    </xf>
    <xf numFmtId="0" fontId="72" fillId="0" borderId="0" applyNumberFormat="0" applyFont="0" applyFill="0" applyBorder="0" applyAlignment="0" applyProtection="0">
      <alignment horizontal="left" indent="1"/>
    </xf>
    <xf numFmtId="0" fontId="10" fillId="0" borderId="0" applyNumberFormat="0" applyFont="0" applyFill="0" applyBorder="0" applyAlignment="0" applyProtection="0">
      <alignment horizontal="left" wrapText="1" indent="2"/>
    </xf>
    <xf numFmtId="183" fontId="10" fillId="0" borderId="0">
      <alignment horizontal="right"/>
    </xf>
    <xf numFmtId="0" fontId="35" fillId="0" borderId="0" applyProtection="0"/>
    <xf numFmtId="170" fontId="35" fillId="0" borderId="0" applyProtection="0"/>
    <xf numFmtId="0" fontId="36" fillId="0" borderId="0" applyProtection="0"/>
    <xf numFmtId="0" fontId="37" fillId="0" borderId="0" applyProtection="0"/>
    <xf numFmtId="0" fontId="35" fillId="0" borderId="1" applyProtection="0"/>
    <xf numFmtId="0" fontId="35" fillId="0" borderId="0"/>
    <xf numFmtId="10" fontId="35" fillId="0" borderId="0" applyProtection="0"/>
    <xf numFmtId="0" fontId="35" fillId="0" borderId="0"/>
    <xf numFmtId="2" fontId="35" fillId="0" borderId="0" applyProtection="0"/>
    <xf numFmtId="4" fontId="35" fillId="0" borderId="0" applyProtection="0"/>
    <xf numFmtId="0" fontId="8" fillId="0" borderId="0"/>
    <xf numFmtId="0" fontId="8" fillId="0" borderId="0"/>
    <xf numFmtId="0" fontId="20" fillId="0" borderId="0"/>
    <xf numFmtId="0" fontId="30" fillId="26" borderId="0" applyNumberFormat="0" applyBorder="0" applyAlignment="0" applyProtection="0"/>
    <xf numFmtId="0" fontId="30" fillId="30" borderId="0" applyNumberFormat="0" applyBorder="0" applyAlignment="0" applyProtection="0"/>
    <xf numFmtId="0" fontId="20" fillId="0" borderId="0"/>
    <xf numFmtId="0" fontId="30" fillId="32" borderId="0" applyNumberFormat="0" applyBorder="0" applyAlignment="0" applyProtection="0"/>
    <xf numFmtId="0" fontId="30" fillId="34"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9" fontId="8" fillId="0" borderId="0" applyFont="0" applyFill="0" applyBorder="0" applyAlignment="0" applyProtection="0"/>
    <xf numFmtId="0" fontId="7" fillId="47" borderId="0" applyNumberFormat="0" applyBorder="0" applyAlignment="0" applyProtection="0"/>
    <xf numFmtId="0" fontId="20" fillId="0" borderId="0"/>
    <xf numFmtId="0" fontId="20" fillId="0" borderId="0"/>
    <xf numFmtId="0" fontId="125" fillId="0" borderId="0"/>
    <xf numFmtId="43" fontId="6" fillId="0" borderId="0" applyFont="0" applyFill="0" applyBorder="0" applyAlignment="0" applyProtection="0"/>
    <xf numFmtId="0" fontId="30" fillId="32" borderId="0" applyNumberFormat="0" applyBorder="0" applyAlignment="0" applyProtection="0"/>
    <xf numFmtId="0" fontId="6" fillId="0" borderId="0"/>
    <xf numFmtId="0" fontId="30" fillId="34" borderId="0" applyNumberFormat="0" applyBorder="0" applyAlignment="0" applyProtection="0"/>
    <xf numFmtId="0" fontId="30" fillId="36" borderId="0" applyNumberFormat="0" applyBorder="0" applyAlignment="0" applyProtection="0"/>
    <xf numFmtId="0" fontId="125" fillId="0" borderId="0"/>
    <xf numFmtId="0" fontId="30" fillId="30" borderId="0" applyNumberFormat="0" applyBorder="0" applyAlignment="0" applyProtection="0"/>
    <xf numFmtId="9" fontId="126" fillId="0" borderId="0" applyFont="0" applyFill="0" applyBorder="0" applyAlignment="0" applyProtection="0"/>
    <xf numFmtId="0" fontId="30" fillId="26" borderId="0" applyNumberFormat="0" applyBorder="0" applyAlignment="0" applyProtection="0"/>
    <xf numFmtId="0" fontId="126" fillId="0" borderId="0"/>
    <xf numFmtId="0" fontId="30" fillId="39" borderId="0" applyNumberFormat="0" applyBorder="0" applyAlignment="0" applyProtection="0"/>
    <xf numFmtId="0" fontId="126" fillId="0" borderId="0" applyNumberFormat="0"/>
    <xf numFmtId="0" fontId="126" fillId="0" borderId="0" applyFont="0" applyFill="0" applyBorder="0" applyAlignment="0" applyProtection="0"/>
    <xf numFmtId="0" fontId="6" fillId="47" borderId="0" applyNumberFormat="0" applyBorder="0" applyAlignment="0" applyProtection="0"/>
    <xf numFmtId="0" fontId="126" fillId="0" borderId="0"/>
    <xf numFmtId="0" fontId="30" fillId="26" borderId="0" applyNumberFormat="0" applyBorder="0" applyAlignment="0" applyProtection="0"/>
    <xf numFmtId="0" fontId="30" fillId="34"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98" fillId="0" borderId="0"/>
    <xf numFmtId="43" fontId="12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30" fillId="39" borderId="0" applyNumberFormat="0" applyBorder="0" applyAlignment="0" applyProtection="0"/>
    <xf numFmtId="0" fontId="6" fillId="0" borderId="0"/>
    <xf numFmtId="0" fontId="30" fillId="36" borderId="0" applyNumberFormat="0" applyBorder="0" applyAlignment="0" applyProtection="0"/>
    <xf numFmtId="0" fontId="30" fillId="34" borderId="0" applyNumberFormat="0" applyBorder="0" applyAlignment="0" applyProtection="0"/>
    <xf numFmtId="0" fontId="30" fillId="32" borderId="0" applyNumberFormat="0" applyBorder="0" applyAlignment="0" applyProtection="0"/>
    <xf numFmtId="0" fontId="126" fillId="0" borderId="0"/>
    <xf numFmtId="0" fontId="30" fillId="26" borderId="0" applyNumberFormat="0" applyBorder="0" applyAlignment="0" applyProtection="0"/>
    <xf numFmtId="0" fontId="126" fillId="0" borderId="0"/>
    <xf numFmtId="0" fontId="20" fillId="0" borderId="0"/>
    <xf numFmtId="0" fontId="30" fillId="30" borderId="0" applyNumberFormat="0" applyBorder="0" applyAlignment="0" applyProtection="0"/>
    <xf numFmtId="0" fontId="98" fillId="0" borderId="0"/>
    <xf numFmtId="43" fontId="20" fillId="0" borderId="0" applyFont="0" applyFill="0" applyBorder="0" applyAlignment="0" applyProtection="0"/>
    <xf numFmtId="43" fontId="20" fillId="0" borderId="0" applyFont="0" applyFill="0" applyBorder="0" applyAlignment="0" applyProtection="0"/>
    <xf numFmtId="0" fontId="30" fillId="32" borderId="0" applyNumberFormat="0" applyBorder="0" applyAlignment="0" applyProtection="0"/>
    <xf numFmtId="0" fontId="9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0" fillId="30" borderId="0" applyNumberFormat="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0" fontId="20" fillId="0" borderId="0" applyNumberFormat="0"/>
    <xf numFmtId="0"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98" fillId="0" borderId="0"/>
    <xf numFmtId="0" fontId="30" fillId="26" borderId="0" applyNumberFormat="0" applyBorder="0" applyAlignment="0" applyProtection="0"/>
    <xf numFmtId="0" fontId="30" fillId="30" borderId="0" applyNumberFormat="0" applyBorder="0" applyAlignment="0" applyProtection="0"/>
    <xf numFmtId="0" fontId="30" fillId="39" borderId="0" applyNumberFormat="0" applyBorder="0" applyAlignment="0" applyProtection="0"/>
    <xf numFmtId="0" fontId="30" fillId="26" borderId="0" applyNumberFormat="0" applyBorder="0" applyAlignment="0" applyProtection="0"/>
    <xf numFmtId="0" fontId="30" fillId="32" borderId="0" applyNumberFormat="0" applyBorder="0" applyAlignment="0" applyProtection="0"/>
    <xf numFmtId="0" fontId="30" fillId="30" borderId="0" applyNumberFormat="0" applyBorder="0" applyAlignment="0" applyProtection="0"/>
    <xf numFmtId="0" fontId="30" fillId="32"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4" borderId="0" applyNumberFormat="0" applyBorder="0" applyAlignment="0" applyProtection="0"/>
    <xf numFmtId="0" fontId="30" fillId="32"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2"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98" fillId="0" borderId="0"/>
    <xf numFmtId="0" fontId="127" fillId="0" borderId="0"/>
    <xf numFmtId="43" fontId="5" fillId="0" borderId="0" applyFont="0" applyFill="0" applyBorder="0" applyAlignment="0" applyProtection="0"/>
    <xf numFmtId="0" fontId="5" fillId="0" borderId="0"/>
    <xf numFmtId="0" fontId="127" fillId="0" borderId="0"/>
    <xf numFmtId="0" fontId="127" fillId="0" borderId="0"/>
    <xf numFmtId="0" fontId="127" fillId="0" borderId="0"/>
    <xf numFmtId="0" fontId="128" fillId="0" borderId="0"/>
    <xf numFmtId="186" fontId="128" fillId="0" borderId="0" applyFont="0" applyFill="0" applyBorder="0" applyAlignment="0" applyProtection="0"/>
    <xf numFmtId="186" fontId="20" fillId="0" borderId="0" applyFont="0" applyFill="0" applyBorder="0" applyAlignment="0" applyProtection="0"/>
    <xf numFmtId="0" fontId="20" fillId="0" borderId="0"/>
    <xf numFmtId="0" fontId="20" fillId="0" borderId="0"/>
    <xf numFmtId="0" fontId="30" fillId="26" borderId="0" applyNumberFormat="0" applyBorder="0" applyAlignment="0" applyProtection="0"/>
    <xf numFmtId="0" fontId="20" fillId="0" borderId="0"/>
    <xf numFmtId="0" fontId="30" fillId="30" borderId="0" applyNumberFormat="0" applyBorder="0" applyAlignment="0" applyProtection="0"/>
    <xf numFmtId="0" fontId="30" fillId="32" borderId="0" applyNumberFormat="0" applyBorder="0" applyAlignment="0" applyProtection="0"/>
    <xf numFmtId="0" fontId="30" fillId="34"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4" fillId="0" borderId="0"/>
    <xf numFmtId="0" fontId="20" fillId="0" borderId="0"/>
    <xf numFmtId="0" fontId="30" fillId="36" borderId="0" applyNumberFormat="0" applyBorder="0" applyAlignment="0" applyProtection="0"/>
    <xf numFmtId="0" fontId="30" fillId="26" borderId="0" applyNumberFormat="0" applyBorder="0" applyAlignment="0" applyProtection="0"/>
    <xf numFmtId="0" fontId="4" fillId="0" borderId="0"/>
    <xf numFmtId="0" fontId="4" fillId="0" borderId="0"/>
    <xf numFmtId="0" fontId="30" fillId="39" borderId="0" applyNumberFormat="0" applyBorder="0" applyAlignment="0" applyProtection="0"/>
    <xf numFmtId="0" fontId="30" fillId="36" borderId="0" applyNumberFormat="0" applyBorder="0" applyAlignment="0" applyProtection="0"/>
    <xf numFmtId="0" fontId="4" fillId="0" borderId="0"/>
    <xf numFmtId="0" fontId="30" fillId="34" borderId="0" applyNumberFormat="0" applyBorder="0" applyAlignment="0" applyProtection="0"/>
    <xf numFmtId="0" fontId="30" fillId="32" borderId="0" applyNumberFormat="0" applyBorder="0" applyAlignment="0" applyProtection="0"/>
    <xf numFmtId="0" fontId="30" fillId="30" borderId="0" applyNumberFormat="0" applyBorder="0" applyAlignment="0" applyProtection="0"/>
    <xf numFmtId="0" fontId="4" fillId="0" borderId="0"/>
    <xf numFmtId="0" fontId="20" fillId="0" borderId="0"/>
    <xf numFmtId="0" fontId="4" fillId="0" borderId="0"/>
    <xf numFmtId="0" fontId="30" fillId="34" borderId="0" applyNumberFormat="0" applyBorder="0" applyAlignment="0" applyProtection="0"/>
    <xf numFmtId="0" fontId="4" fillId="0" borderId="0"/>
    <xf numFmtId="0" fontId="30" fillId="26" borderId="0" applyNumberFormat="0" applyBorder="0" applyAlignment="0" applyProtection="0"/>
    <xf numFmtId="0" fontId="20" fillId="0" borderId="0"/>
    <xf numFmtId="0" fontId="30" fillId="39" borderId="0" applyNumberFormat="0" applyBorder="0" applyAlignment="0" applyProtection="0"/>
    <xf numFmtId="0" fontId="33" fillId="3"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9" borderId="0" applyNumberFormat="0" applyBorder="0" applyAlignment="0" applyProtection="0"/>
    <xf numFmtId="43" fontId="4" fillId="0" borderId="0" applyFont="0" applyFill="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5"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8" fillId="12" borderId="0" applyNumberFormat="0" applyBorder="0" applyAlignment="0" applyProtection="0"/>
    <xf numFmtId="0" fontId="38" fillId="18"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8" fillId="12" borderId="0" applyNumberFormat="0" applyBorder="0" applyAlignment="0" applyProtection="0"/>
    <xf numFmtId="0" fontId="38" fillId="6"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0" fillId="0" borderId="0"/>
    <xf numFmtId="0" fontId="30" fillId="34"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7" fontId="15" fillId="0" borderId="0" applyFont="0" applyFill="0" applyBorder="0" applyAlignment="0" applyProtection="0"/>
    <xf numFmtId="169" fontId="32" fillId="0" borderId="0" applyFont="0" applyFill="0" applyBorder="0" applyAlignment="0" applyProtection="0"/>
    <xf numFmtId="0" fontId="98" fillId="0" borderId="0"/>
    <xf numFmtId="0" fontId="20" fillId="0" borderId="0"/>
    <xf numFmtId="0" fontId="33" fillId="0" borderId="0"/>
    <xf numFmtId="0" fontId="98" fillId="0" borderId="0"/>
    <xf numFmtId="0" fontId="15" fillId="0" borderId="0"/>
    <xf numFmtId="0" fontId="58" fillId="0" borderId="0"/>
    <xf numFmtId="0" fontId="119" fillId="0" borderId="0" applyNumberFormat="0" applyFill="0" applyBorder="0" applyAlignment="0" applyProtection="0"/>
    <xf numFmtId="0" fontId="78" fillId="0" borderId="0" applyNumberFormat="0" applyFill="0" applyBorder="0" applyAlignment="0" applyProtection="0"/>
    <xf numFmtId="0" fontId="4" fillId="47" borderId="0" applyNumberFormat="0" applyBorder="0" applyAlignment="0" applyProtection="0"/>
    <xf numFmtId="0" fontId="20" fillId="0" borderId="0"/>
    <xf numFmtId="0" fontId="20" fillId="0" borderId="0"/>
    <xf numFmtId="0" fontId="20" fillId="0" borderId="0"/>
    <xf numFmtId="0" fontId="20" fillId="0" borderId="0"/>
    <xf numFmtId="0" fontId="98" fillId="0" borderId="0"/>
    <xf numFmtId="43" fontId="4" fillId="0" borderId="0" applyFont="0" applyFill="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2" borderId="0" applyNumberFormat="0" applyBorder="0" applyAlignment="0" applyProtection="0"/>
    <xf numFmtId="0" fontId="30" fillId="34"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0" fillId="39" borderId="0" applyNumberFormat="0" applyBorder="0" applyAlignment="0" applyProtection="0"/>
    <xf numFmtId="0" fontId="30" fillId="36" borderId="0" applyNumberFormat="0" applyBorder="0" applyAlignment="0" applyProtection="0"/>
    <xf numFmtId="0" fontId="4" fillId="0" borderId="0"/>
    <xf numFmtId="0" fontId="4" fillId="0" borderId="0"/>
    <xf numFmtId="0" fontId="4" fillId="0" borderId="0"/>
    <xf numFmtId="0" fontId="30" fillId="34" borderId="0" applyNumberFormat="0" applyBorder="0" applyAlignment="0" applyProtection="0"/>
    <xf numFmtId="0" fontId="30" fillId="32" borderId="0" applyNumberFormat="0" applyBorder="0" applyAlignment="0" applyProtection="0"/>
    <xf numFmtId="0" fontId="30" fillId="30" borderId="0" applyNumberFormat="0" applyBorder="0" applyAlignment="0" applyProtection="0"/>
    <xf numFmtId="0" fontId="30" fillId="26" borderId="0" applyNumberFormat="0" applyBorder="0" applyAlignment="0" applyProtection="0"/>
    <xf numFmtId="0" fontId="20" fillId="0" borderId="0"/>
    <xf numFmtId="0" fontId="98" fillId="0" borderId="0"/>
    <xf numFmtId="0" fontId="38" fillId="19"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102" fillId="48" borderId="0" applyNumberFormat="0" applyBorder="0" applyAlignment="0" applyProtection="0"/>
    <xf numFmtId="0" fontId="102" fillId="49" borderId="0" applyNumberFormat="0" applyBorder="0" applyAlignment="0" applyProtection="0"/>
    <xf numFmtId="0" fontId="102" fillId="50" borderId="0" applyNumberFormat="0" applyBorder="0" applyAlignment="0" applyProtection="0"/>
    <xf numFmtId="0" fontId="102" fillId="51" borderId="0" applyNumberFormat="0" applyBorder="0" applyAlignment="0" applyProtection="0"/>
    <xf numFmtId="0" fontId="102" fillId="52" borderId="0" applyNumberFormat="0" applyBorder="0" applyAlignment="0" applyProtection="0"/>
    <xf numFmtId="0" fontId="102" fillId="53" borderId="0" applyNumberFormat="0" applyBorder="0" applyAlignment="0" applyProtection="0"/>
    <xf numFmtId="0" fontId="102" fillId="54" borderId="0" applyNumberFormat="0" applyBorder="0" applyAlignment="0" applyProtection="0"/>
    <xf numFmtId="0" fontId="102" fillId="55" borderId="0" applyNumberFormat="0" applyBorder="0" applyAlignment="0" applyProtection="0"/>
    <xf numFmtId="0" fontId="102" fillId="56" borderId="0" applyNumberFormat="0" applyBorder="0" applyAlignment="0" applyProtection="0"/>
    <xf numFmtId="0" fontId="102" fillId="57" borderId="0" applyNumberFormat="0" applyBorder="0" applyAlignment="0" applyProtection="0"/>
    <xf numFmtId="0" fontId="102" fillId="58" borderId="0" applyNumberFormat="0" applyBorder="0" applyAlignment="0" applyProtection="0"/>
    <xf numFmtId="0" fontId="104" fillId="59" borderId="0" applyNumberFormat="0" applyBorder="0" applyAlignment="0" applyProtection="0"/>
    <xf numFmtId="0" fontId="104" fillId="60" borderId="0" applyNumberFormat="0" applyBorder="0" applyAlignment="0" applyProtection="0"/>
    <xf numFmtId="0" fontId="104" fillId="61" borderId="0" applyNumberFormat="0" applyBorder="0" applyAlignment="0" applyProtection="0"/>
    <xf numFmtId="0" fontId="104" fillId="62" borderId="0" applyNumberFormat="0" applyBorder="0" applyAlignment="0" applyProtection="0"/>
    <xf numFmtId="0" fontId="104" fillId="63" borderId="0" applyNumberFormat="0" applyBorder="0" applyAlignment="0" applyProtection="0"/>
    <xf numFmtId="0" fontId="104" fillId="64"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28" borderId="0" applyNumberFormat="0" applyBorder="0" applyAlignment="0" applyProtection="0"/>
    <xf numFmtId="0" fontId="38" fillId="17" borderId="0" applyNumberFormat="0" applyBorder="0" applyAlignment="0" applyProtection="0"/>
    <xf numFmtId="0" fontId="38" fillId="31"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31" borderId="0" applyNumberFormat="0" applyBorder="0" applyAlignment="0" applyProtection="0"/>
    <xf numFmtId="0" fontId="38" fillId="28" borderId="0" applyNumberFormat="0" applyBorder="0" applyAlignment="0" applyProtection="0"/>
    <xf numFmtId="43" fontId="102" fillId="0" borderId="0" applyFont="0" applyFill="0" applyBorder="0" applyAlignment="0" applyProtection="0"/>
    <xf numFmtId="43" fontId="4" fillId="0" borderId="0" applyFont="0" applyFill="0" applyBorder="0" applyAlignment="0" applyProtection="0"/>
    <xf numFmtId="0" fontId="38" fillId="21" borderId="0" applyNumberFormat="0" applyBorder="0" applyAlignment="0" applyProtection="0"/>
    <xf numFmtId="0" fontId="108" fillId="0" borderId="0" applyNumberFormat="0" applyFill="0" applyBorder="0" applyAlignment="0" applyProtection="0"/>
    <xf numFmtId="0" fontId="20" fillId="0" borderId="0"/>
    <xf numFmtId="0" fontId="4" fillId="0" borderId="0"/>
    <xf numFmtId="0" fontId="4" fillId="0" borderId="0"/>
    <xf numFmtId="0" fontId="20" fillId="0" borderId="0"/>
    <xf numFmtId="0" fontId="4" fillId="0" borderId="0"/>
    <xf numFmtId="0" fontId="20" fillId="0" borderId="0"/>
    <xf numFmtId="0" fontId="4" fillId="0" borderId="0"/>
    <xf numFmtId="0" fontId="30" fillId="30" borderId="0" applyNumberFormat="0" applyBorder="0" applyAlignment="0" applyProtection="0"/>
    <xf numFmtId="9" fontId="8" fillId="0" borderId="0" applyFont="0" applyFill="0" applyBorder="0" applyAlignment="0" applyProtection="0"/>
    <xf numFmtId="6" fontId="26" fillId="0" borderId="0" applyFont="0" applyFill="0" applyBorder="0" applyAlignment="0" applyProtection="0"/>
    <xf numFmtId="0" fontId="120" fillId="0" borderId="29" applyNumberFormat="0" applyFill="0" applyAlignment="0" applyProtection="0"/>
    <xf numFmtId="0" fontId="38" fillId="31" borderId="0" applyNumberFormat="0" applyBorder="0" applyAlignment="0" applyProtection="0"/>
    <xf numFmtId="0" fontId="38" fillId="28" borderId="0" applyNumberFormat="0" applyBorder="0" applyAlignment="0" applyProtection="0"/>
    <xf numFmtId="0" fontId="38" fillId="21" borderId="0" applyNumberFormat="0" applyBorder="0" applyAlignment="0" applyProtection="0"/>
    <xf numFmtId="0" fontId="98" fillId="0" borderId="0"/>
    <xf numFmtId="0" fontId="130" fillId="0" borderId="0"/>
    <xf numFmtId="186" fontId="130" fillId="0" borderId="0" applyFont="0" applyFill="0" applyBorder="0" applyAlignment="0" applyProtection="0"/>
    <xf numFmtId="0" fontId="130" fillId="0" borderId="0"/>
    <xf numFmtId="0" fontId="130" fillId="0" borderId="0"/>
    <xf numFmtId="0" fontId="130" fillId="0" borderId="0"/>
    <xf numFmtId="0" fontId="30" fillId="26" borderId="0" applyNumberFormat="0" applyBorder="0" applyAlignment="0" applyProtection="0"/>
    <xf numFmtId="0" fontId="30" fillId="30" borderId="0" applyNumberFormat="0" applyBorder="0" applyAlignment="0" applyProtection="0"/>
    <xf numFmtId="0" fontId="30" fillId="32" borderId="0" applyNumberFormat="0" applyBorder="0" applyAlignment="0" applyProtection="0"/>
    <xf numFmtId="0" fontId="30" fillId="34"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131" fillId="0" borderId="0"/>
    <xf numFmtId="186" fontId="131" fillId="0" borderId="0" applyFont="0" applyFill="0" applyBorder="0" applyAlignment="0" applyProtection="0"/>
    <xf numFmtId="0" fontId="131" fillId="0" borderId="0"/>
    <xf numFmtId="0" fontId="131" fillId="0" borderId="0"/>
    <xf numFmtId="0" fontId="131" fillId="0" borderId="0"/>
    <xf numFmtId="0" fontId="131" fillId="0" borderId="0"/>
    <xf numFmtId="0" fontId="131" fillId="0" borderId="0"/>
    <xf numFmtId="0" fontId="20" fillId="0" borderId="0"/>
    <xf numFmtId="0" fontId="20" fillId="0" borderId="0"/>
    <xf numFmtId="0" fontId="20" fillId="0" borderId="0"/>
    <xf numFmtId="0" fontId="20" fillId="0" borderId="0"/>
    <xf numFmtId="0" fontId="20" fillId="0" borderId="0"/>
    <xf numFmtId="184" fontId="131" fillId="0" borderId="0"/>
    <xf numFmtId="184" fontId="30" fillId="26" borderId="0" applyNumberFormat="0" applyBorder="0" applyAlignment="0" applyProtection="0"/>
    <xf numFmtId="184" fontId="30" fillId="30" borderId="0" applyNumberFormat="0" applyBorder="0" applyAlignment="0" applyProtection="0"/>
    <xf numFmtId="184" fontId="30" fillId="32" borderId="0" applyNumberFormat="0" applyBorder="0" applyAlignment="0" applyProtection="0"/>
    <xf numFmtId="184" fontId="30" fillId="34" borderId="0" applyNumberFormat="0" applyBorder="0" applyAlignment="0" applyProtection="0"/>
    <xf numFmtId="184" fontId="30" fillId="36" borderId="0" applyNumberFormat="0" applyBorder="0" applyAlignment="0" applyProtection="0"/>
    <xf numFmtId="184" fontId="30" fillId="39" borderId="0" applyNumberFormat="0" applyBorder="0" applyAlignment="0" applyProtection="0"/>
    <xf numFmtId="184" fontId="8" fillId="0" borderId="0"/>
    <xf numFmtId="0" fontId="8" fillId="0" borderId="0"/>
    <xf numFmtId="0" fontId="30" fillId="30" borderId="0" applyNumberFormat="0" applyBorder="0" applyAlignment="0" applyProtection="0"/>
    <xf numFmtId="0" fontId="30" fillId="26" borderId="0" applyNumberFormat="0" applyBorder="0" applyAlignment="0" applyProtection="0"/>
    <xf numFmtId="0" fontId="131"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7" borderId="0" applyNumberFormat="0" applyBorder="0" applyAlignment="0" applyProtection="0"/>
    <xf numFmtId="0" fontId="3" fillId="47"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47"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15" fillId="0" borderId="0"/>
    <xf numFmtId="0" fontId="98" fillId="0" borderId="0"/>
    <xf numFmtId="186" fontId="15" fillId="0" borderId="0" applyFont="0" applyFill="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8" fillId="16" borderId="0" applyNumberFormat="0" applyBorder="0" applyAlignment="0" applyProtection="0"/>
    <xf numFmtId="0" fontId="38" fillId="6" borderId="0" applyNumberFormat="0" applyBorder="0" applyAlignment="0" applyProtection="0"/>
    <xf numFmtId="0" fontId="38" fillId="13" borderId="0" applyNumberFormat="0" applyBorder="0" applyAlignment="0" applyProtection="0"/>
    <xf numFmtId="0" fontId="38" fillId="19" borderId="0" applyNumberFormat="0" applyBorder="0" applyAlignment="0" applyProtection="0"/>
    <xf numFmtId="0" fontId="38" fillId="17" borderId="0" applyNumberFormat="0" applyBorder="0" applyAlignment="0" applyProtection="0"/>
    <xf numFmtId="0" fontId="38" fillId="20" borderId="0" applyNumberFormat="0" applyBorder="0" applyAlignment="0" applyProtection="0"/>
    <xf numFmtId="0" fontId="29" fillId="22"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8"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30" fillId="29" borderId="0" applyNumberFormat="0" applyBorder="0" applyAlignment="0" applyProtection="0"/>
    <xf numFmtId="0" fontId="38" fillId="2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23" borderId="0" applyNumberFormat="0" applyBorder="0" applyAlignment="0" applyProtection="0"/>
    <xf numFmtId="0" fontId="38" fillId="3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30" fillId="33" borderId="0" applyNumberFormat="0" applyBorder="0" applyAlignment="0" applyProtection="0"/>
    <xf numFmtId="0" fontId="38" fillId="19"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30" fillId="25" borderId="0" applyNumberFormat="0" applyBorder="0" applyAlignment="0" applyProtection="0"/>
    <xf numFmtId="0" fontId="38" fillId="17" borderId="0" applyNumberFormat="0" applyBorder="0" applyAlignment="0" applyProtection="0"/>
    <xf numFmtId="0" fontId="29" fillId="22" borderId="0" applyNumberFormat="0" applyBorder="0" applyAlignment="0" applyProtection="0"/>
    <xf numFmtId="0" fontId="29" fillId="37" borderId="0" applyNumberFormat="0" applyBorder="0" applyAlignment="0" applyProtection="0"/>
    <xf numFmtId="0" fontId="30" fillId="38" borderId="0" applyNumberFormat="0" applyBorder="0" applyAlignment="0" applyProtection="0"/>
    <xf numFmtId="0" fontId="38" fillId="18" borderId="0" applyNumberFormat="0" applyBorder="0" applyAlignment="0" applyProtection="0"/>
    <xf numFmtId="0" fontId="39" fillId="5" borderId="0" applyNumberFormat="0" applyBorder="0" applyAlignment="0" applyProtection="0"/>
    <xf numFmtId="0" fontId="40" fillId="11" borderId="2" applyNumberFormat="0" applyAlignment="0" applyProtection="0"/>
    <xf numFmtId="0" fontId="41" fillId="41" borderId="3" applyNumberFormat="0" applyAlignment="0" applyProtection="0"/>
    <xf numFmtId="185" fontId="20" fillId="0" borderId="0" applyFont="0" applyFill="0" applyBorder="0" applyAlignment="0" applyProtection="0"/>
    <xf numFmtId="43" fontId="3" fillId="0" borderId="0" applyFont="0" applyFill="0" applyBorder="0" applyAlignment="0" applyProtection="0"/>
    <xf numFmtId="18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5"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6" fontId="15" fillId="0" borderId="0" applyFont="0" applyFill="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187" fontId="15" fillId="0" borderId="0" applyFont="0" applyFill="0" applyBorder="0" applyAlignment="0" applyProtection="0"/>
    <xf numFmtId="0" fontId="44" fillId="0" borderId="0" applyNumberFormat="0" applyFill="0" applyBorder="0" applyAlignment="0" applyProtection="0"/>
    <xf numFmtId="0" fontId="45" fillId="8" borderId="0" applyNumberFormat="0" applyBorder="0" applyAlignment="0" applyProtection="0"/>
    <xf numFmtId="0" fontId="46" fillId="0" borderId="4" applyNumberFormat="0" applyFill="0" applyAlignment="0" applyProtection="0"/>
    <xf numFmtId="0" fontId="47" fillId="0" borderId="7" applyNumberFormat="0" applyFill="0" applyAlignment="0" applyProtection="0"/>
    <xf numFmtId="0" fontId="48" fillId="0" borderId="10" applyNumberFormat="0" applyFill="0" applyAlignment="0" applyProtection="0"/>
    <xf numFmtId="0" fontId="48" fillId="0" borderId="0" applyNumberFormat="0" applyFill="0" applyBorder="0" applyAlignment="0" applyProtection="0"/>
    <xf numFmtId="0" fontId="51" fillId="7" borderId="2" applyNumberFormat="0" applyAlignment="0" applyProtection="0"/>
    <xf numFmtId="0" fontId="52" fillId="0" borderId="12" applyNumberFormat="0" applyFill="0" applyAlignment="0" applyProtection="0"/>
    <xf numFmtId="0" fontId="53" fillId="14" borderId="0" applyNumberFormat="0" applyBorder="0" applyAlignment="0" applyProtection="0"/>
    <xf numFmtId="0" fontId="5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7" fillId="0" borderId="0"/>
    <xf numFmtId="0" fontId="15"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3" fillId="0" borderId="0"/>
    <xf numFmtId="0" fontId="15" fillId="0" borderId="0"/>
    <xf numFmtId="0" fontId="15" fillId="0" borderId="0"/>
    <xf numFmtId="0" fontId="15" fillId="0" borderId="0"/>
    <xf numFmtId="0" fontId="58" fillId="0" borderId="0"/>
    <xf numFmtId="0" fontId="58" fillId="0" borderId="0"/>
    <xf numFmtId="0" fontId="58" fillId="0" borderId="0"/>
    <xf numFmtId="0" fontId="15" fillId="0" borderId="0"/>
    <xf numFmtId="0" fontId="102" fillId="0" borderId="0"/>
    <xf numFmtId="0" fontId="102" fillId="0" borderId="0"/>
    <xf numFmtId="0" fontId="102" fillId="0" borderId="0"/>
    <xf numFmtId="0" fontId="102" fillId="0" borderId="0"/>
    <xf numFmtId="0" fontId="33"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9" borderId="15" applyNumberFormat="0" applyFont="0" applyAlignment="0" applyProtection="0"/>
    <xf numFmtId="0" fontId="55" fillId="11" borderId="16"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0" fontId="34" fillId="0" borderId="0" applyNumberFormat="0" applyFill="0" applyBorder="0" applyAlignment="0" applyProtection="0"/>
    <xf numFmtId="0" fontId="20" fillId="0" borderId="0"/>
    <xf numFmtId="0" fontId="25" fillId="0" borderId="0" applyNumberFormat="0" applyFill="0" applyBorder="0" applyAlignment="0" applyProtection="0"/>
    <xf numFmtId="0" fontId="57" fillId="0" borderId="0" applyNumberFormat="0" applyFill="0" applyBorder="0" applyAlignment="0" applyProtection="0"/>
    <xf numFmtId="0" fontId="98" fillId="0" borderId="0"/>
    <xf numFmtId="0" fontId="98" fillId="0" borderId="0"/>
    <xf numFmtId="0" fontId="3" fillId="0" borderId="0"/>
    <xf numFmtId="0" fontId="40" fillId="11" borderId="30" applyNumberFormat="0" applyAlignment="0" applyProtection="0"/>
    <xf numFmtId="43" fontId="3" fillId="0" borderId="0" applyFont="0" applyFill="0" applyBorder="0" applyAlignment="0" applyProtection="0"/>
    <xf numFmtId="0" fontId="51" fillId="7" borderId="3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9" borderId="31" applyNumberFormat="0" applyFont="0" applyAlignment="0" applyProtection="0"/>
    <xf numFmtId="0" fontId="55" fillId="11" borderId="32" applyNumberFormat="0" applyAlignment="0" applyProtection="0"/>
    <xf numFmtId="0" fontId="56" fillId="0" borderId="33" applyNumberFormat="0" applyFill="0" applyAlignment="0" applyProtection="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43" fontId="3" fillId="0" borderId="0" applyFont="0" applyFill="0" applyBorder="0" applyAlignment="0" applyProtection="0"/>
    <xf numFmtId="0" fontId="58" fillId="3" borderId="0" applyNumberFormat="0" applyBorder="0" applyAlignment="0" applyProtection="0"/>
    <xf numFmtId="0" fontId="102"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184" fontId="33" fillId="3" borderId="0" applyNumberFormat="0" applyBorder="0" applyAlignment="0" applyProtection="0"/>
    <xf numFmtId="0" fontId="58" fillId="6" borderId="0" applyNumberFormat="0" applyBorder="0" applyAlignment="0" applyProtection="0"/>
    <xf numFmtId="0" fontId="102" fillId="48" borderId="0" applyNumberFormat="0" applyBorder="0" applyAlignment="0" applyProtection="0"/>
    <xf numFmtId="184" fontId="33" fillId="6" borderId="0" applyNumberFormat="0" applyBorder="0" applyAlignment="0" applyProtection="0"/>
    <xf numFmtId="0" fontId="102" fillId="49" borderId="0" applyNumberFormat="0" applyBorder="0" applyAlignment="0" applyProtection="0"/>
    <xf numFmtId="0" fontId="58" fillId="7" borderId="0" applyNumberFormat="0" applyBorder="0" applyAlignment="0" applyProtection="0"/>
    <xf numFmtId="184" fontId="33" fillId="11" borderId="0" applyNumberFormat="0" applyBorder="0" applyAlignment="0" applyProtection="0"/>
    <xf numFmtId="0" fontId="102" fillId="51" borderId="0" applyNumberFormat="0" applyBorder="0" applyAlignment="0" applyProtection="0"/>
    <xf numFmtId="0" fontId="102" fillId="52" borderId="0" applyNumberFormat="0" applyBorder="0" applyAlignment="0" applyProtection="0"/>
    <xf numFmtId="0" fontId="58" fillId="12" borderId="0" applyNumberFormat="0" applyBorder="0" applyAlignment="0" applyProtection="0"/>
    <xf numFmtId="0" fontId="102" fillId="5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4" fontId="3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6" borderId="0" applyNumberFormat="0" applyBorder="0" applyAlignment="0" applyProtection="0"/>
    <xf numFmtId="0" fontId="102" fillId="54" borderId="0" applyNumberFormat="0" applyBorder="0" applyAlignment="0" applyProtection="0"/>
    <xf numFmtId="184" fontId="33" fillId="6" borderId="0" applyNumberFormat="0" applyBorder="0" applyAlignment="0" applyProtection="0"/>
    <xf numFmtId="0" fontId="58" fillId="14" borderId="0" applyNumberFormat="0" applyBorder="0" applyAlignment="0" applyProtection="0"/>
    <xf numFmtId="0" fontId="102" fillId="55" borderId="0" applyNumberFormat="0" applyBorder="0" applyAlignment="0" applyProtection="0"/>
    <xf numFmtId="184" fontId="33" fillId="14" borderId="0" applyNumberFormat="0" applyBorder="0" applyAlignment="0" applyProtection="0"/>
    <xf numFmtId="0" fontId="58" fillId="5" borderId="0" applyNumberFormat="0" applyBorder="0" applyAlignment="0" applyProtection="0"/>
    <xf numFmtId="0" fontId="102" fillId="56" borderId="0" applyNumberFormat="0" applyBorder="0" applyAlignment="0" applyProtection="0"/>
    <xf numFmtId="184" fontId="33" fillId="5" borderId="0" applyNumberFormat="0" applyBorder="0" applyAlignment="0" applyProtection="0"/>
    <xf numFmtId="0" fontId="58" fillId="12" borderId="0" applyNumberFormat="0" applyBorder="0" applyAlignment="0" applyProtection="0"/>
    <xf numFmtId="0" fontId="102" fillId="57" borderId="0" applyNumberFormat="0" applyBorder="0" applyAlignment="0" applyProtection="0"/>
    <xf numFmtId="184" fontId="33" fillId="12" borderId="0" applyNumberFormat="0" applyBorder="0" applyAlignment="0" applyProtection="0"/>
    <xf numFmtId="0" fontId="58" fillId="9" borderId="0" applyNumberFormat="0" applyBorder="0" applyAlignment="0" applyProtection="0"/>
    <xf numFmtId="0" fontId="102" fillId="58" borderId="0" applyNumberFormat="0" applyBorder="0" applyAlignment="0" applyProtection="0"/>
    <xf numFmtId="184" fontId="33" fillId="9" borderId="0" applyNumberFormat="0" applyBorder="0" applyAlignment="0" applyProtection="0"/>
    <xf numFmtId="0" fontId="59" fillId="12" borderId="0" applyNumberFormat="0" applyBorder="0" applyAlignment="0" applyProtection="0"/>
    <xf numFmtId="184" fontId="38" fillId="12" borderId="0" applyNumberFormat="0" applyBorder="0" applyAlignment="0" applyProtection="0"/>
    <xf numFmtId="0" fontId="59" fillId="18" borderId="0" applyNumberFormat="0" applyBorder="0" applyAlignment="0" applyProtection="0"/>
    <xf numFmtId="184" fontId="38"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4" fontId="38"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5" borderId="0" applyNumberFormat="0" applyBorder="0" applyAlignment="0" applyProtection="0"/>
    <xf numFmtId="184" fontId="38" fillId="5" borderId="0" applyNumberFormat="0" applyBorder="0" applyAlignment="0" applyProtection="0"/>
    <xf numFmtId="0" fontId="59" fillId="12" borderId="0" applyNumberFormat="0" applyBorder="0" applyAlignment="0" applyProtection="0"/>
    <xf numFmtId="0" fontId="58" fillId="9" borderId="0" applyNumberFormat="0" applyBorder="0" applyAlignment="0" applyProtection="0"/>
    <xf numFmtId="184" fontId="33" fillId="9" borderId="0" applyNumberFormat="0" applyBorder="0" applyAlignment="0" applyProtection="0"/>
    <xf numFmtId="0" fontId="102" fillId="50" borderId="0" applyNumberFormat="0" applyBorder="0" applyAlignment="0" applyProtection="0"/>
    <xf numFmtId="0" fontId="58" fillId="12" borderId="0" applyNumberFormat="0" applyBorder="0" applyAlignment="0" applyProtection="0"/>
    <xf numFmtId="184" fontId="33" fillId="12" borderId="0" applyNumberFormat="0" applyBorder="0" applyAlignment="0" applyProtection="0"/>
    <xf numFmtId="0" fontId="58" fillId="9" borderId="0" applyNumberFormat="0" applyBorder="0" applyAlignment="0" applyProtection="0"/>
    <xf numFmtId="184" fontId="33" fillId="9" borderId="0" applyNumberFormat="0" applyBorder="0" applyAlignment="0" applyProtection="0"/>
    <xf numFmtId="0" fontId="98" fillId="0" borderId="0"/>
    <xf numFmtId="0" fontId="144" fillId="0" borderId="0" applyNumberFormat="0" applyFill="0" applyBorder="0" applyAlignment="0" applyProtection="0"/>
    <xf numFmtId="0" fontId="143" fillId="0" borderId="33" applyNumberFormat="0" applyFill="0" applyAlignment="0" applyProtection="0"/>
    <xf numFmtId="0" fontId="142" fillId="11" borderId="32" applyNumberFormat="0" applyAlignment="0" applyProtection="0"/>
    <xf numFmtId="0" fontId="132" fillId="9" borderId="31" applyNumberFormat="0" applyFont="0" applyAlignment="0" applyProtection="0"/>
    <xf numFmtId="0" fontId="3" fillId="0" borderId="0"/>
    <xf numFmtId="0" fontId="8" fillId="0" borderId="0"/>
    <xf numFmtId="0" fontId="8" fillId="0" borderId="0"/>
    <xf numFmtId="0" fontId="20" fillId="0" borderId="0"/>
    <xf numFmtId="0" fontId="141" fillId="14" borderId="0" applyNumberFormat="0" applyBorder="0" applyAlignment="0" applyProtection="0"/>
    <xf numFmtId="0" fontId="140" fillId="0" borderId="12" applyNumberFormat="0" applyFill="0" applyAlignment="0" applyProtection="0"/>
    <xf numFmtId="0" fontId="139" fillId="7" borderId="30" applyNumberFormat="0" applyAlignment="0" applyProtection="0"/>
    <xf numFmtId="0" fontId="8" fillId="0" borderId="0"/>
    <xf numFmtId="0" fontId="138" fillId="8" borderId="0" applyNumberFormat="0" applyBorder="0" applyAlignment="0" applyProtection="0"/>
    <xf numFmtId="0" fontId="137" fillId="0" borderId="0" applyNumberForma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0" fontId="136" fillId="41" borderId="3" applyNumberFormat="0" applyAlignment="0" applyProtection="0"/>
    <xf numFmtId="0" fontId="135" fillId="11" borderId="30" applyNumberFormat="0" applyAlignment="0" applyProtection="0"/>
    <xf numFmtId="0" fontId="134" fillId="5" borderId="0" applyNumberFormat="0" applyBorder="0" applyAlignment="0" applyProtection="0"/>
    <xf numFmtId="0" fontId="133" fillId="18" borderId="0" applyNumberFormat="0" applyBorder="0" applyAlignment="0" applyProtection="0"/>
    <xf numFmtId="0" fontId="133" fillId="17" borderId="0" applyNumberFormat="0" applyBorder="0" applyAlignment="0" applyProtection="0"/>
    <xf numFmtId="0" fontId="133" fillId="19" borderId="0" applyNumberFormat="0" applyBorder="0" applyAlignment="0" applyProtection="0"/>
    <xf numFmtId="0" fontId="133" fillId="31" borderId="0" applyNumberFormat="0" applyBorder="0" applyAlignment="0" applyProtection="0"/>
    <xf numFmtId="0" fontId="133" fillId="28" borderId="0" applyNumberFormat="0" applyBorder="0" applyAlignment="0" applyProtection="0"/>
    <xf numFmtId="0" fontId="133" fillId="21" borderId="0" applyNumberFormat="0" applyBorder="0" applyAlignment="0" applyProtection="0"/>
    <xf numFmtId="0" fontId="133" fillId="20" borderId="0" applyNumberFormat="0" applyBorder="0" applyAlignment="0" applyProtection="0"/>
    <xf numFmtId="0" fontId="133" fillId="17" borderId="0" applyNumberFormat="0" applyBorder="0" applyAlignment="0" applyProtection="0"/>
    <xf numFmtId="0" fontId="133" fillId="19" borderId="0" applyNumberFormat="0" applyBorder="0" applyAlignment="0" applyProtection="0"/>
    <xf numFmtId="0" fontId="133" fillId="13" borderId="0" applyNumberFormat="0" applyBorder="0" applyAlignment="0" applyProtection="0"/>
    <xf numFmtId="0" fontId="133" fillId="6" borderId="0" applyNumberFormat="0" applyBorder="0" applyAlignment="0" applyProtection="0"/>
    <xf numFmtId="0" fontId="133" fillId="16" borderId="0" applyNumberFormat="0" applyBorder="0" applyAlignment="0" applyProtection="0"/>
    <xf numFmtId="0" fontId="132" fillId="15" borderId="0" applyNumberFormat="0" applyBorder="0" applyAlignment="0" applyProtection="0"/>
    <xf numFmtId="0" fontId="132" fillId="3" borderId="0" applyNumberFormat="0" applyBorder="0" applyAlignment="0" applyProtection="0"/>
    <xf numFmtId="0" fontId="132" fillId="10" borderId="0" applyNumberFormat="0" applyBorder="0" applyAlignment="0" applyProtection="0"/>
    <xf numFmtId="0" fontId="132" fillId="13" borderId="0" applyNumberFormat="0" applyBorder="0" applyAlignment="0" applyProtection="0"/>
    <xf numFmtId="0" fontId="132" fillId="6" borderId="0" applyNumberFormat="0" applyBorder="0" applyAlignment="0" applyProtection="0"/>
    <xf numFmtId="0" fontId="132" fillId="3" borderId="0" applyNumberFormat="0" applyBorder="0" applyAlignment="0" applyProtection="0"/>
    <xf numFmtId="0" fontId="132" fillId="7" borderId="0" applyNumberFormat="0" applyBorder="0" applyAlignment="0" applyProtection="0"/>
    <xf numFmtId="0" fontId="132" fillId="12" borderId="0" applyNumberFormat="0" applyBorder="0" applyAlignment="0" applyProtection="0"/>
    <xf numFmtId="0" fontId="132" fillId="10" borderId="0" applyNumberFormat="0" applyBorder="0" applyAlignment="0" applyProtection="0"/>
    <xf numFmtId="0" fontId="132" fillId="8" borderId="0" applyNumberFormat="0" applyBorder="0" applyAlignment="0" applyProtection="0"/>
    <xf numFmtId="0" fontId="132" fillId="5" borderId="0" applyNumberFormat="0" applyBorder="0" applyAlignment="0" applyProtection="0"/>
    <xf numFmtId="0" fontId="132" fillId="2" borderId="0" applyNumberFormat="0" applyBorder="0" applyAlignment="0" applyProtection="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0" fillId="0" borderId="0"/>
    <xf numFmtId="184" fontId="38" fillId="12" borderId="0" applyNumberFormat="0" applyBorder="0" applyAlignment="0" applyProtection="0"/>
    <xf numFmtId="0" fontId="59" fillId="6" borderId="0" applyNumberFormat="0" applyBorder="0" applyAlignment="0" applyProtection="0"/>
    <xf numFmtId="184" fontId="38" fillId="6" borderId="0" applyNumberFormat="0" applyBorder="0" applyAlignment="0" applyProtection="0"/>
    <xf numFmtId="184" fontId="29" fillId="23" borderId="0" applyNumberFormat="0" applyBorder="0" applyAlignment="0" applyProtection="0"/>
    <xf numFmtId="184" fontId="29" fillId="24" borderId="0" applyNumberFormat="0" applyBorder="0" applyAlignment="0" applyProtection="0"/>
    <xf numFmtId="184" fontId="30" fillId="25" borderId="0" applyNumberFormat="0" applyBorder="0" applyAlignment="0" applyProtection="0"/>
    <xf numFmtId="0" fontId="59" fillId="27" borderId="0" applyNumberFormat="0" applyBorder="0" applyAlignment="0" applyProtection="0"/>
    <xf numFmtId="0" fontId="38" fillId="21" borderId="0" applyNumberFormat="0" applyBorder="0" applyAlignment="0" applyProtection="0"/>
    <xf numFmtId="184" fontId="29" fillId="23" borderId="0" applyNumberFormat="0" applyBorder="0" applyAlignment="0" applyProtection="0"/>
    <xf numFmtId="184" fontId="29" fillId="23" borderId="0" applyNumberFormat="0" applyBorder="0" applyAlignment="0" applyProtection="0"/>
    <xf numFmtId="184" fontId="30" fillId="29" borderId="0" applyNumberFormat="0" applyBorder="0" applyAlignment="0" applyProtection="0"/>
    <xf numFmtId="0" fontId="59" fillId="18" borderId="0" applyNumberFormat="0" applyBorder="0" applyAlignment="0" applyProtection="0"/>
    <xf numFmtId="0" fontId="38" fillId="28" borderId="0" applyNumberFormat="0" applyBorder="0" applyAlignment="0" applyProtection="0"/>
    <xf numFmtId="184" fontId="29" fillId="23" borderId="0" applyNumberFormat="0" applyBorder="0" applyAlignment="0" applyProtection="0"/>
    <xf numFmtId="184" fontId="29" fillId="23" borderId="0" applyNumberFormat="0" applyBorder="0" applyAlignment="0" applyProtection="0"/>
    <xf numFmtId="184" fontId="30" fillId="23" borderId="0" applyNumberFormat="0" applyBorder="0" applyAlignment="0" applyProtection="0"/>
    <xf numFmtId="0" fontId="59" fillId="15" borderId="0" applyNumberFormat="0" applyBorder="0" applyAlignment="0" applyProtection="0"/>
    <xf numFmtId="0" fontId="38" fillId="31" borderId="0" applyNumberFormat="0" applyBorder="0" applyAlignment="0" applyProtection="0"/>
    <xf numFmtId="184" fontId="29" fillId="23" borderId="0" applyNumberFormat="0" applyBorder="0" applyAlignment="0" applyProtection="0"/>
    <xf numFmtId="184" fontId="29" fillId="23" borderId="0" applyNumberFormat="0" applyBorder="0" applyAlignment="0" applyProtection="0"/>
    <xf numFmtId="184" fontId="30" fillId="33" borderId="0" applyNumberFormat="0" applyBorder="0" applyAlignment="0" applyProtection="0"/>
    <xf numFmtId="0" fontId="59" fillId="35" borderId="0" applyNumberFormat="0" applyBorder="0" applyAlignment="0" applyProtection="0"/>
    <xf numFmtId="0" fontId="38" fillId="19" borderId="0" applyNumberFormat="0" applyBorder="0" applyAlignment="0" applyProtection="0"/>
    <xf numFmtId="184" fontId="29" fillId="23" borderId="0" applyNumberFormat="0" applyBorder="0" applyAlignment="0" applyProtection="0"/>
    <xf numFmtId="184" fontId="29" fillId="25" borderId="0" applyNumberFormat="0" applyBorder="0" applyAlignment="0" applyProtection="0"/>
    <xf numFmtId="184" fontId="30" fillId="25" borderId="0" applyNumberFormat="0" applyBorder="0" applyAlignment="0" applyProtection="0"/>
    <xf numFmtId="0" fontId="59" fillId="17" borderId="0" applyNumberFormat="0" applyBorder="0" applyAlignment="0" applyProtection="0"/>
    <xf numFmtId="0" fontId="38" fillId="17" borderId="0" applyNumberFormat="0" applyBorder="0" applyAlignment="0" applyProtection="0"/>
    <xf numFmtId="184" fontId="29" fillId="23" borderId="0" applyNumberFormat="0" applyBorder="0" applyAlignment="0" applyProtection="0"/>
    <xf numFmtId="184" fontId="29" fillId="37" borderId="0" applyNumberFormat="0" applyBorder="0" applyAlignment="0" applyProtection="0"/>
    <xf numFmtId="184" fontId="30" fillId="38" borderId="0" applyNumberFormat="0" applyBorder="0" applyAlignment="0" applyProtection="0"/>
    <xf numFmtId="0" fontId="59" fillId="28" borderId="0" applyNumberFormat="0" applyBorder="0" applyAlignment="0" applyProtection="0"/>
    <xf numFmtId="0" fontId="38" fillId="18" borderId="0" applyNumberFormat="0" applyBorder="0" applyAlignment="0" applyProtection="0"/>
    <xf numFmtId="0" fontId="60" fillId="10" borderId="0" applyNumberFormat="0" applyBorder="0" applyAlignment="0" applyProtection="0"/>
    <xf numFmtId="184" fontId="80" fillId="37" borderId="0" applyNumberFormat="0" applyBorder="0" applyAlignment="0" applyProtection="0"/>
    <xf numFmtId="0" fontId="73" fillId="4" borderId="30" applyNumberFormat="0" applyAlignment="0" applyProtection="0"/>
    <xf numFmtId="0" fontId="81" fillId="40" borderId="30" applyNumberFormat="0" applyAlignment="0" applyProtection="0"/>
    <xf numFmtId="0" fontId="106" fillId="72" borderId="21" applyNumberFormat="0" applyAlignment="0" applyProtection="0"/>
    <xf numFmtId="0" fontId="40" fillId="11" borderId="30" applyNumberFormat="0" applyAlignment="0" applyProtection="0"/>
    <xf numFmtId="0" fontId="81" fillId="40" borderId="30" applyNumberFormat="0" applyAlignment="0" applyProtection="0"/>
    <xf numFmtId="184" fontId="81" fillId="40" borderId="30" applyNumberFormat="0" applyAlignment="0" applyProtection="0"/>
    <xf numFmtId="0" fontId="81" fillId="40" borderId="30" applyNumberFormat="0" applyAlignment="0" applyProtection="0"/>
    <xf numFmtId="0" fontId="81" fillId="40" borderId="30" applyNumberFormat="0" applyAlignment="0" applyProtection="0"/>
    <xf numFmtId="0" fontId="81" fillId="40" borderId="30" applyNumberFormat="0" applyAlignment="0" applyProtection="0"/>
    <xf numFmtId="0" fontId="81" fillId="40" borderId="30" applyNumberFormat="0" applyAlignment="0" applyProtection="0"/>
    <xf numFmtId="0" fontId="61" fillId="41" borderId="3" applyNumberFormat="0" applyAlignment="0" applyProtection="0"/>
    <xf numFmtId="184" fontId="82" fillId="29" borderId="3" applyNumberFormat="0" applyAlignment="0" applyProtection="0"/>
    <xf numFmtId="43" fontId="8" fillId="0" borderId="0" applyFont="0" applyFill="0" applyBorder="0" applyAlignment="0" applyProtection="0"/>
    <xf numFmtId="186" fontId="20" fillId="0" borderId="0" applyFont="0" applyFill="0" applyBorder="0" applyAlignment="0" applyProtection="0"/>
    <xf numFmtId="185" fontId="98" fillId="0" borderId="0" applyFont="0" applyFill="0" applyBorder="0" applyAlignment="0" applyProtection="0"/>
    <xf numFmtId="43" fontId="8" fillId="0" borderId="0" applyFont="0" applyFill="0" applyBorder="0" applyAlignment="0" applyProtection="0"/>
    <xf numFmtId="43" fontId="69" fillId="0" borderId="0" applyFont="0" applyFill="0" applyBorder="0" applyAlignment="0" applyProtection="0"/>
    <xf numFmtId="43" fontId="102"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186" fontId="20"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91"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185"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186" fontId="20" fillId="0" borderId="0" applyFont="0" applyFill="0" applyBorder="0" applyAlignment="0" applyProtection="0"/>
    <xf numFmtId="184" fontId="31" fillId="42" borderId="0" applyNumberFormat="0" applyBorder="0" applyAlignment="0" applyProtection="0"/>
    <xf numFmtId="184" fontId="31" fillId="43" borderId="0" applyNumberFormat="0" applyBorder="0" applyAlignment="0" applyProtection="0"/>
    <xf numFmtId="184" fontId="31" fillId="44" borderId="0" applyNumberFormat="0" applyBorder="0" applyAlignment="0" applyProtection="0"/>
    <xf numFmtId="169" fontId="32" fillId="0" borderId="0" applyFont="0" applyFill="0" applyBorder="0" applyAlignment="0" applyProtection="0"/>
    <xf numFmtId="184" fontId="32" fillId="0" borderId="0" applyFont="0" applyFill="0" applyBorder="0" applyAlignment="0" applyProtection="0"/>
    <xf numFmtId="0" fontId="62" fillId="0" borderId="0" applyNumberFormat="0" applyFill="0" applyBorder="0" applyAlignment="0" applyProtection="0"/>
    <xf numFmtId="184" fontId="44" fillId="0" borderId="0" applyNumberFormat="0" applyFill="0" applyBorder="0" applyAlignment="0" applyProtection="0"/>
    <xf numFmtId="0" fontId="63" fillId="12" borderId="0" applyNumberFormat="0" applyBorder="0" applyAlignment="0" applyProtection="0"/>
    <xf numFmtId="184" fontId="83" fillId="45" borderId="0" applyNumberFormat="0" applyBorder="0" applyAlignment="0" applyProtection="0"/>
    <xf numFmtId="0" fontId="74" fillId="0" borderId="5" applyNumberFormat="0" applyFill="0" applyAlignment="0" applyProtection="0"/>
    <xf numFmtId="0" fontId="75" fillId="0" borderId="8" applyNumberFormat="0" applyFill="0" applyAlignment="0" applyProtection="0"/>
    <xf numFmtId="0" fontId="76" fillId="0" borderId="11" applyNumberFormat="0" applyFill="0" applyAlignment="0" applyProtection="0"/>
    <xf numFmtId="0" fontId="76" fillId="0" borderId="0" applyNumberFormat="0" applyFill="0" applyBorder="0" applyAlignment="0" applyProtection="0"/>
    <xf numFmtId="0" fontId="64" fillId="14" borderId="30" applyNumberFormat="0" applyAlignment="0" applyProtection="0"/>
    <xf numFmtId="0" fontId="87" fillId="38" borderId="30" applyNumberFormat="0" applyAlignment="0" applyProtection="0"/>
    <xf numFmtId="0" fontId="114" fillId="75" borderId="21" applyNumberFormat="0" applyAlignment="0" applyProtection="0"/>
    <xf numFmtId="0" fontId="51" fillId="7" borderId="30" applyNumberFormat="0" applyAlignment="0" applyProtection="0"/>
    <xf numFmtId="0" fontId="87" fillId="38" borderId="30" applyNumberFormat="0" applyAlignment="0" applyProtection="0"/>
    <xf numFmtId="184" fontId="87" fillId="38" borderId="30" applyNumberFormat="0" applyAlignment="0" applyProtection="0"/>
    <xf numFmtId="0" fontId="87" fillId="38" borderId="30" applyNumberFormat="0" applyAlignment="0" applyProtection="0"/>
    <xf numFmtId="0" fontId="87" fillId="38" borderId="30" applyNumberFormat="0" applyAlignment="0" applyProtection="0"/>
    <xf numFmtId="0" fontId="87" fillId="38" borderId="30" applyNumberFormat="0" applyAlignment="0" applyProtection="0"/>
    <xf numFmtId="0" fontId="87" fillId="38" borderId="30" applyNumberFormat="0" applyAlignment="0" applyProtection="0"/>
    <xf numFmtId="0" fontId="67" fillId="0" borderId="13" applyNumberFormat="0" applyFill="0" applyAlignment="0" applyProtection="0"/>
    <xf numFmtId="184" fontId="88" fillId="0" borderId="14" applyNumberFormat="0" applyFill="0" applyAlignment="0" applyProtection="0"/>
    <xf numFmtId="0" fontId="20" fillId="0" borderId="0"/>
    <xf numFmtId="0" fontId="77" fillId="14" borderId="0" applyNumberFormat="0" applyBorder="0" applyAlignment="0" applyProtection="0"/>
    <xf numFmtId="184" fontId="88" fillId="38" borderId="0" applyNumberFormat="0" applyBorder="0" applyAlignment="0" applyProtection="0"/>
    <xf numFmtId="0" fontId="54" fillId="0" borderId="0"/>
    <xf numFmtId="0" fontId="8" fillId="0" borderId="0"/>
    <xf numFmtId="184" fontId="8" fillId="0" borderId="0"/>
    <xf numFmtId="0" fontId="20" fillId="0" borderId="0"/>
    <xf numFmtId="0" fontId="69" fillId="0" borderId="0"/>
    <xf numFmtId="0" fontId="20" fillId="0" borderId="0"/>
    <xf numFmtId="0" fontId="20" fillId="0" borderId="0"/>
    <xf numFmtId="0" fontId="98" fillId="0" borderId="0"/>
    <xf numFmtId="0" fontId="98" fillId="0" borderId="0"/>
    <xf numFmtId="0" fontId="98" fillId="0" borderId="0"/>
    <xf numFmtId="0" fontId="98" fillId="0" borderId="0"/>
    <xf numFmtId="0" fontId="20" fillId="0" borderId="0"/>
    <xf numFmtId="0" fontId="98" fillId="0" borderId="0"/>
    <xf numFmtId="0" fontId="98" fillId="0" borderId="0"/>
    <xf numFmtId="0" fontId="98" fillId="0" borderId="0"/>
    <xf numFmtId="0" fontId="20" fillId="0" borderId="0"/>
    <xf numFmtId="0" fontId="69" fillId="0" borderId="0"/>
    <xf numFmtId="0" fontId="9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9" fillId="0" borderId="0"/>
    <xf numFmtId="0" fontId="3" fillId="0" borderId="0"/>
    <xf numFmtId="0" fontId="20" fillId="0" borderId="0"/>
    <xf numFmtId="0" fontId="20" fillId="0" borderId="0"/>
    <xf numFmtId="0" fontId="20" fillId="0" borderId="0"/>
    <xf numFmtId="0" fontId="20" fillId="0" borderId="0"/>
    <xf numFmtId="0" fontId="69" fillId="0" borderId="0"/>
    <xf numFmtId="0" fontId="3" fillId="0" borderId="0"/>
    <xf numFmtId="0" fontId="69" fillId="0" borderId="0"/>
    <xf numFmtId="0" fontId="3" fillId="0" borderId="0"/>
    <xf numFmtId="0" fontId="69" fillId="0" borderId="0"/>
    <xf numFmtId="0" fontId="3" fillId="0" borderId="0"/>
    <xf numFmtId="0" fontId="69" fillId="0" borderId="0"/>
    <xf numFmtId="0" fontId="3" fillId="0" borderId="0"/>
    <xf numFmtId="0" fontId="69" fillId="0" borderId="0"/>
    <xf numFmtId="0" fontId="3" fillId="0" borderId="0"/>
    <xf numFmtId="0" fontId="69" fillId="0" borderId="0"/>
    <xf numFmtId="0" fontId="3" fillId="0" borderId="0"/>
    <xf numFmtId="0" fontId="69" fillId="0" borderId="0"/>
    <xf numFmtId="0" fontId="15" fillId="0" borderId="0"/>
    <xf numFmtId="0" fontId="15" fillId="0" borderId="0"/>
    <xf numFmtId="0" fontId="8" fillId="0" borderId="0"/>
    <xf numFmtId="0" fontId="20" fillId="0" borderId="0"/>
    <xf numFmtId="0" fontId="8" fillId="0" borderId="0"/>
    <xf numFmtId="0" fontId="133" fillId="21" borderId="0" applyNumberFormat="0" applyBorder="0" applyAlignment="0" applyProtection="0"/>
    <xf numFmtId="0" fontId="133" fillId="28" borderId="0" applyNumberFormat="0" applyBorder="0" applyAlignment="0" applyProtection="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133" fillId="31" borderId="0" applyNumberFormat="0" applyBorder="0" applyAlignment="0" applyProtection="0"/>
    <xf numFmtId="0" fontId="20" fillId="0" borderId="0"/>
    <xf numFmtId="0" fontId="3" fillId="0" borderId="0"/>
    <xf numFmtId="0" fontId="15" fillId="0" borderId="0"/>
    <xf numFmtId="0" fontId="6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3" fillId="19" borderId="0" applyNumberFormat="0" applyBorder="0" applyAlignment="0" applyProtection="0"/>
    <xf numFmtId="0" fontId="20" fillId="0" borderId="0"/>
    <xf numFmtId="0" fontId="3" fillId="0" borderId="0"/>
    <xf numFmtId="0" fontId="69" fillId="0" borderId="0"/>
    <xf numFmtId="0" fontId="5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3" fillId="17" borderId="0" applyNumberFormat="0" applyBorder="0" applyAlignment="0" applyProtection="0"/>
    <xf numFmtId="0" fontId="33" fillId="0" borderId="0"/>
    <xf numFmtId="0" fontId="102" fillId="0" borderId="0"/>
    <xf numFmtId="0" fontId="69"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3" fillId="0" borderId="0"/>
    <xf numFmtId="0" fontId="69" fillId="0" borderId="0"/>
    <xf numFmtId="0" fontId="133" fillId="18"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69" fillId="0" borderId="0"/>
    <xf numFmtId="0" fontId="8" fillId="0" borderId="0"/>
    <xf numFmtId="0" fontId="8" fillId="0" borderId="0"/>
    <xf numFmtId="0" fontId="8" fillId="0" borderId="0"/>
    <xf numFmtId="0" fontId="33" fillId="0" borderId="0"/>
    <xf numFmtId="0" fontId="69" fillId="0" borderId="0"/>
    <xf numFmtId="0" fontId="3"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9"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9" fillId="0" borderId="0"/>
    <xf numFmtId="0" fontId="3" fillId="0" borderId="0"/>
    <xf numFmtId="0" fontId="3" fillId="0" borderId="0"/>
    <xf numFmtId="0" fontId="20"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180" fontId="8" fillId="0" borderId="0" applyFill="0" applyBorder="0" applyAlignment="0" applyProtection="0">
      <alignment horizontal="right"/>
    </xf>
    <xf numFmtId="0" fontId="33" fillId="9" borderId="31" applyNumberFormat="0" applyFont="0" applyAlignment="0" applyProtection="0"/>
    <xf numFmtId="0" fontId="69" fillId="9" borderId="31" applyNumberFormat="0" applyFont="0" applyAlignment="0" applyProtection="0"/>
    <xf numFmtId="0" fontId="32" fillId="37" borderId="31" applyNumberFormat="0" applyFont="0" applyAlignment="0" applyProtection="0"/>
    <xf numFmtId="0" fontId="102" fillId="77" borderId="27" applyNumberFormat="0" applyFont="0" applyAlignment="0" applyProtection="0"/>
    <xf numFmtId="0" fontId="33" fillId="9" borderId="31" applyNumberFormat="0" applyFont="0" applyAlignment="0" applyProtection="0"/>
    <xf numFmtId="0" fontId="32" fillId="37" borderId="31" applyNumberFormat="0" applyFont="0" applyAlignment="0" applyProtection="0"/>
    <xf numFmtId="184" fontId="32" fillId="37" borderId="31" applyNumberFormat="0" applyFont="0" applyAlignment="0" applyProtection="0"/>
    <xf numFmtId="0" fontId="32" fillId="37" borderId="31" applyNumberFormat="0" applyFont="0" applyAlignment="0" applyProtection="0"/>
    <xf numFmtId="0" fontId="32" fillId="37" borderId="31" applyNumberFormat="0" applyFont="0" applyAlignment="0" applyProtection="0"/>
    <xf numFmtId="0" fontId="32" fillId="37" borderId="31" applyNumberFormat="0" applyFont="0" applyAlignment="0" applyProtection="0"/>
    <xf numFmtId="0" fontId="32" fillId="37" borderId="31" applyNumberFormat="0" applyFont="0" applyAlignment="0" applyProtection="0"/>
    <xf numFmtId="0" fontId="65" fillId="4" borderId="32" applyNumberFormat="0" applyAlignment="0" applyProtection="0"/>
    <xf numFmtId="0" fontId="89" fillId="40" borderId="32" applyNumberFormat="0" applyAlignment="0" applyProtection="0"/>
    <xf numFmtId="0" fontId="118" fillId="72" borderId="28" applyNumberFormat="0" applyAlignment="0" applyProtection="0"/>
    <xf numFmtId="0" fontId="55" fillId="11" borderId="32" applyNumberFormat="0" applyAlignment="0" applyProtection="0"/>
    <xf numFmtId="0" fontId="89" fillId="40" borderId="32" applyNumberFormat="0" applyAlignment="0" applyProtection="0"/>
    <xf numFmtId="184" fontId="89" fillId="40" borderId="32" applyNumberFormat="0" applyAlignment="0" applyProtection="0"/>
    <xf numFmtId="0" fontId="89" fillId="40" borderId="32" applyNumberFormat="0" applyAlignment="0" applyProtection="0"/>
    <xf numFmtId="0" fontId="89" fillId="40" borderId="32" applyNumberFormat="0" applyAlignment="0" applyProtection="0"/>
    <xf numFmtId="0" fontId="89" fillId="40" borderId="32" applyNumberFormat="0" applyAlignment="0" applyProtection="0"/>
    <xf numFmtId="0" fontId="89" fillId="40" borderId="32" applyNumberFormat="0" applyAlignment="0" applyProtection="0"/>
    <xf numFmtId="9" fontId="8" fillId="0" borderId="0" applyFont="0" applyFill="0" applyBorder="0" applyAlignment="0" applyProtection="0"/>
    <xf numFmtId="9" fontId="15"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33" fillId="18" borderId="0" applyNumberFormat="0" applyBorder="0" applyAlignment="0" applyProtection="0"/>
    <xf numFmtId="0" fontId="133" fillId="17" borderId="0" applyNumberFormat="0" applyBorder="0" applyAlignment="0" applyProtection="0"/>
    <xf numFmtId="0" fontId="133" fillId="19" borderId="0" applyNumberFormat="0" applyBorder="0" applyAlignment="0" applyProtection="0"/>
    <xf numFmtId="0" fontId="133" fillId="31" borderId="0" applyNumberFormat="0" applyBorder="0" applyAlignment="0" applyProtection="0"/>
    <xf numFmtId="184" fontId="34" fillId="0" borderId="0" applyNumberFormat="0" applyFill="0" applyBorder="0" applyAlignment="0" applyProtection="0"/>
    <xf numFmtId="0" fontId="133" fillId="28" borderId="0" applyNumberFormat="0" applyBorder="0" applyAlignment="0" applyProtection="0"/>
    <xf numFmtId="0" fontId="133" fillId="21" borderId="0" applyNumberFormat="0" applyBorder="0" applyAlignment="0" applyProtection="0"/>
    <xf numFmtId="0" fontId="133" fillId="18" borderId="0" applyNumberFormat="0" applyBorder="0" applyAlignment="0" applyProtection="0"/>
    <xf numFmtId="0" fontId="79" fillId="0" borderId="0"/>
    <xf numFmtId="184" fontId="20" fillId="0" borderId="0"/>
    <xf numFmtId="0" fontId="133" fillId="17" borderId="0" applyNumberFormat="0" applyBorder="0" applyAlignment="0" applyProtection="0"/>
    <xf numFmtId="0" fontId="133" fillId="19" borderId="0" applyNumberFormat="0" applyBorder="0" applyAlignment="0" applyProtection="0"/>
    <xf numFmtId="0" fontId="133" fillId="31" borderId="0" applyNumberFormat="0" applyBorder="0" applyAlignment="0" applyProtection="0"/>
    <xf numFmtId="0" fontId="20" fillId="0" borderId="0" applyNumberFormat="0"/>
    <xf numFmtId="0" fontId="20" fillId="0" borderId="0" applyNumberFormat="0"/>
    <xf numFmtId="0" fontId="133" fillId="28" borderId="0" applyNumberFormat="0" applyBorder="0" applyAlignment="0" applyProtection="0"/>
    <xf numFmtId="0" fontId="78" fillId="0" borderId="0" applyNumberFormat="0" applyFill="0" applyBorder="0" applyAlignment="0" applyProtection="0"/>
    <xf numFmtId="0" fontId="133" fillId="21" borderId="0" applyNumberFormat="0" applyBorder="0" applyAlignment="0" applyProtection="0"/>
    <xf numFmtId="0" fontId="66" fillId="0" borderId="34" applyNumberFormat="0" applyFill="0" applyAlignment="0" applyProtection="0"/>
    <xf numFmtId="0" fontId="31" fillId="0" borderId="35" applyNumberFormat="0" applyFill="0" applyAlignment="0" applyProtection="0"/>
    <xf numFmtId="0" fontId="42" fillId="0" borderId="1">
      <protection locked="0"/>
    </xf>
    <xf numFmtId="0" fontId="56" fillId="0" borderId="33" applyNumberFormat="0" applyFill="0" applyAlignment="0" applyProtection="0"/>
    <xf numFmtId="0" fontId="31" fillId="0" borderId="35" applyNumberFormat="0" applyFill="0" applyAlignment="0" applyProtection="0"/>
    <xf numFmtId="0" fontId="31" fillId="0" borderId="35" applyNumberFormat="0" applyFill="0" applyAlignment="0" applyProtection="0"/>
    <xf numFmtId="184" fontId="31" fillId="0" borderId="35" applyNumberFormat="0" applyFill="0" applyAlignment="0" applyProtection="0"/>
    <xf numFmtId="0" fontId="31" fillId="0" borderId="35" applyNumberFormat="0" applyFill="0" applyAlignment="0" applyProtection="0"/>
    <xf numFmtId="0" fontId="31" fillId="0" borderId="35" applyNumberFormat="0" applyFill="0" applyAlignment="0" applyProtection="0"/>
    <xf numFmtId="0" fontId="31" fillId="0" borderId="35" applyNumberFormat="0" applyFill="0" applyAlignment="0" applyProtection="0"/>
    <xf numFmtId="0" fontId="20" fillId="0" borderId="0" applyFont="0" applyFill="0" applyBorder="0" applyAlignment="0" applyProtection="0"/>
    <xf numFmtId="0" fontId="67" fillId="0" borderId="0" applyNumberFormat="0" applyFill="0" applyBorder="0" applyAlignment="0" applyProtection="0"/>
    <xf numFmtId="184" fontId="90" fillId="0" borderId="0" applyNumberFormat="0" applyFill="0" applyBorder="0" applyAlignment="0" applyProtection="0"/>
    <xf numFmtId="0" fontId="30" fillId="39" borderId="0" applyNumberFormat="0" applyBorder="0" applyAlignment="0" applyProtection="0"/>
    <xf numFmtId="0" fontId="30" fillId="36" borderId="0" applyNumberFormat="0" applyBorder="0" applyAlignment="0" applyProtection="0"/>
    <xf numFmtId="0" fontId="8" fillId="0" borderId="0"/>
    <xf numFmtId="0" fontId="30" fillId="34" borderId="0" applyNumberFormat="0" applyBorder="0" applyAlignment="0" applyProtection="0"/>
    <xf numFmtId="0" fontId="30" fillId="32" borderId="0" applyNumberFormat="0" applyBorder="0" applyAlignment="0" applyProtection="0"/>
    <xf numFmtId="0" fontId="8" fillId="0" borderId="20" applyNumberFormat="0" applyFont="0" applyFill="0" applyAlignment="0" applyProtection="0">
      <alignment horizontal="center"/>
    </xf>
    <xf numFmtId="0" fontId="8" fillId="0" borderId="0" applyNumberFormat="0" applyFont="0" applyFill="0" applyBorder="0" applyAlignment="0" applyProtection="0">
      <alignment horizontal="left" wrapText="1" indent="1"/>
    </xf>
    <xf numFmtId="0" fontId="8" fillId="0" borderId="0" applyNumberFormat="0" applyFont="0" applyFill="0" applyBorder="0" applyAlignment="0" applyProtection="0">
      <alignment horizontal="left" wrapText="1" indent="2"/>
    </xf>
    <xf numFmtId="183" fontId="8" fillId="0" borderId="0">
      <alignment horizontal="right"/>
    </xf>
    <xf numFmtId="0" fontId="20" fillId="0" borderId="0"/>
    <xf numFmtId="0" fontId="20" fillId="0" borderId="0"/>
    <xf numFmtId="0" fontId="20" fillId="0" borderId="0"/>
    <xf numFmtId="0" fontId="98"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3" fillId="0" borderId="0"/>
    <xf numFmtId="0" fontId="98"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98" fillId="0" borderId="0"/>
    <xf numFmtId="0" fontId="98" fillId="0" borderId="0"/>
    <xf numFmtId="0" fontId="98" fillId="0" borderId="0"/>
    <xf numFmtId="0" fontId="98" fillId="0" borderId="0"/>
    <xf numFmtId="0" fontId="117" fillId="0" borderId="0"/>
    <xf numFmtId="43" fontId="117" fillId="0" borderId="0" applyFont="0" applyFill="0" applyBorder="0" applyAlignment="0" applyProtection="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184" fontId="20" fillId="0" borderId="0"/>
    <xf numFmtId="0" fontId="98" fillId="0" borderId="0"/>
    <xf numFmtId="0" fontId="98" fillId="0" borderId="0"/>
    <xf numFmtId="0" fontId="55" fillId="11" borderId="38" applyNumberFormat="0" applyAlignment="0" applyProtection="0"/>
    <xf numFmtId="0" fontId="31" fillId="0" borderId="41" applyNumberFormat="0" applyFill="0" applyAlignment="0" applyProtection="0"/>
    <xf numFmtId="0" fontId="132" fillId="9" borderId="37" applyNumberFormat="0" applyFont="0" applyAlignment="0" applyProtection="0"/>
    <xf numFmtId="0" fontId="142" fillId="11" borderId="38" applyNumberFormat="0" applyAlignment="0" applyProtection="0"/>
    <xf numFmtId="0" fontId="20" fillId="0" borderId="0">
      <alignment shrinkToFit="1"/>
    </xf>
    <xf numFmtId="0" fontId="20" fillId="0" borderId="0">
      <alignment shrinkToFit="1"/>
    </xf>
    <xf numFmtId="0" fontId="40" fillId="11" borderId="36" applyNumberFormat="0" applyAlignment="0" applyProtection="0"/>
    <xf numFmtId="184" fontId="32" fillId="37" borderId="37" applyNumberFormat="0" applyFont="0" applyAlignment="0" applyProtection="0"/>
    <xf numFmtId="184" fontId="87" fillId="38" borderId="36" applyNumberFormat="0" applyAlignment="0" applyProtection="0"/>
    <xf numFmtId="0" fontId="32" fillId="37" borderId="37" applyNumberFormat="0" applyFont="0" applyAlignment="0" applyProtection="0"/>
    <xf numFmtId="0" fontId="64" fillId="14" borderId="36" applyNumberFormat="0" applyAlignment="0" applyProtection="0"/>
    <xf numFmtId="0" fontId="32" fillId="37" borderId="37" applyNumberFormat="0" applyFont="0" applyAlignment="0" applyProtection="0"/>
    <xf numFmtId="184" fontId="20"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7" borderId="0" applyNumberFormat="0" applyBorder="0" applyAlignment="0" applyProtection="0"/>
    <xf numFmtId="0" fontId="3" fillId="47"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47" borderId="0" applyNumberFormat="0" applyBorder="0" applyAlignment="0" applyProtection="0"/>
    <xf numFmtId="184" fontId="81" fillId="40" borderId="36" applyNumberFormat="0" applyAlignment="0" applyProtection="0"/>
    <xf numFmtId="0" fontId="3" fillId="0" borderId="0"/>
    <xf numFmtId="43" fontId="3" fillId="0" borderId="0" applyFont="0" applyFill="0" applyBorder="0" applyAlignment="0" applyProtection="0"/>
    <xf numFmtId="0" fontId="3" fillId="0" borderId="0"/>
    <xf numFmtId="0" fontId="31" fillId="0" borderId="41" applyNumberFormat="0" applyFill="0" applyAlignment="0" applyProtection="0"/>
    <xf numFmtId="0" fontId="33" fillId="9" borderId="37" applyNumberFormat="0" applyFont="0" applyAlignment="0" applyProtection="0"/>
    <xf numFmtId="0" fontId="89" fillId="40" borderId="38" applyNumberFormat="0" applyAlignment="0" applyProtection="0"/>
    <xf numFmtId="0" fontId="3" fillId="0" borderId="0"/>
    <xf numFmtId="0" fontId="15" fillId="0" borderId="0"/>
    <xf numFmtId="0" fontId="20" fillId="0" borderId="0">
      <alignment shrinkToFit="1"/>
    </xf>
    <xf numFmtId="0" fontId="32" fillId="37" borderId="37" applyNumberFormat="0" applyFont="0" applyAlignment="0" applyProtection="0"/>
    <xf numFmtId="0" fontId="89" fillId="40" borderId="38" applyNumberFormat="0" applyAlignment="0" applyProtection="0"/>
    <xf numFmtId="184" fontId="89" fillId="40" borderId="38" applyNumberFormat="0" applyAlignment="0" applyProtection="0"/>
    <xf numFmtId="0" fontId="31" fillId="0" borderId="41" applyNumberFormat="0" applyFill="0" applyAlignment="0" applyProtection="0"/>
    <xf numFmtId="0" fontId="66" fillId="0" borderId="40" applyNumberFormat="0" applyFill="0" applyAlignment="0" applyProtection="0"/>
    <xf numFmtId="0" fontId="20" fillId="0" borderId="0">
      <alignment shrinkToFit="1"/>
    </xf>
    <xf numFmtId="0" fontId="40" fillId="11" borderId="30" applyNumberFormat="0" applyAlignment="0" applyProtection="0"/>
    <xf numFmtId="43" fontId="3" fillId="0" borderId="0" applyFont="0" applyFill="0" applyBorder="0" applyAlignment="0" applyProtection="0"/>
    <xf numFmtId="0" fontId="139" fillId="7" borderId="36" applyNumberFormat="0" applyAlignment="0" applyProtection="0"/>
    <xf numFmtId="0" fontId="56" fillId="0" borderId="39" applyNumberFormat="0" applyFill="0" applyAlignment="0" applyProtection="0"/>
    <xf numFmtId="0" fontId="51" fillId="7" borderId="3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87" fillId="38" borderId="3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9" borderId="31" applyNumberFormat="0" applyFont="0" applyAlignment="0" applyProtection="0"/>
    <xf numFmtId="0" fontId="55" fillId="11" borderId="32" applyNumberFormat="0" applyAlignment="0" applyProtection="0"/>
    <xf numFmtId="0" fontId="3" fillId="0" borderId="0"/>
    <xf numFmtId="0" fontId="40" fillId="11" borderId="36" applyNumberFormat="0" applyAlignment="0" applyProtection="0"/>
    <xf numFmtId="43" fontId="3" fillId="0" borderId="0" applyFont="0" applyFill="0" applyBorder="0" applyAlignment="0" applyProtection="0"/>
    <xf numFmtId="0" fontId="51" fillId="7" borderId="3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9" borderId="37" applyNumberFormat="0" applyFont="0" applyAlignment="0" applyProtection="0"/>
    <xf numFmtId="0" fontId="55" fillId="11" borderId="38" applyNumberFormat="0" applyAlignment="0" applyProtection="0"/>
    <xf numFmtId="0" fontId="56" fillId="0" borderId="39" applyNumberFormat="0" applyFill="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shrinkToFit="1"/>
    </xf>
    <xf numFmtId="0" fontId="40" fillId="11" borderId="36" applyNumberFormat="0" applyAlignment="0" applyProtection="0"/>
    <xf numFmtId="0" fontId="20" fillId="0" borderId="0">
      <alignment shrinkToFit="1"/>
    </xf>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20" fillId="0" borderId="0"/>
    <xf numFmtId="0" fontId="65" fillId="4" borderId="38" applyNumberFormat="0" applyAlignment="0" applyProtection="0"/>
    <xf numFmtId="0" fontId="89" fillId="40" borderId="3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41" applyNumberFormat="0" applyFill="0" applyAlignment="0" applyProtection="0"/>
    <xf numFmtId="184" fontId="31" fillId="0" borderId="41"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shrinkToFit="1"/>
    </xf>
    <xf numFmtId="184" fontId="32" fillId="37" borderId="37" applyNumberFormat="0" applyFont="0" applyAlignment="0" applyProtection="0"/>
    <xf numFmtId="0" fontId="89" fillId="40" borderId="38" applyNumberFormat="0" applyAlignment="0" applyProtection="0"/>
    <xf numFmtId="0" fontId="89" fillId="40" borderId="38" applyNumberFormat="0" applyAlignment="0" applyProtection="0"/>
    <xf numFmtId="0" fontId="143" fillId="0" borderId="39" applyNumberFormat="0" applyFill="0" applyAlignment="0" applyProtection="0"/>
    <xf numFmtId="0" fontId="142" fillId="11" borderId="38" applyNumberFormat="0" applyAlignment="0" applyProtection="0"/>
    <xf numFmtId="0" fontId="132" fillId="9" borderId="37" applyNumberFormat="0" applyFont="0" applyAlignment="0" applyProtection="0"/>
    <xf numFmtId="0" fontId="3" fillId="0" borderId="0"/>
    <xf numFmtId="0" fontId="139" fillId="7" borderId="36" applyNumberFormat="0" applyAlignment="0" applyProtection="0"/>
    <xf numFmtId="0" fontId="8" fillId="0" borderId="0"/>
    <xf numFmtId="43" fontId="20" fillId="0" borderId="0" applyFont="0" applyFill="0" applyBorder="0" applyAlignment="0" applyProtection="0"/>
    <xf numFmtId="0" fontId="20" fillId="0" borderId="0"/>
    <xf numFmtId="0" fontId="135" fillId="11" borderId="36" applyNumberFormat="0" applyAlignment="0" applyProtection="0"/>
    <xf numFmtId="0" fontId="56" fillId="0" borderId="39" applyNumberFormat="0" applyFill="0" applyAlignment="0" applyProtection="0"/>
    <xf numFmtId="0" fontId="89" fillId="40" borderId="38" applyNumberFormat="0" applyAlignment="0" applyProtection="0"/>
    <xf numFmtId="0" fontId="20" fillId="0" borderId="0"/>
    <xf numFmtId="0" fontId="135" fillId="11" borderId="36" applyNumberFormat="0" applyAlignment="0" applyProtection="0"/>
    <xf numFmtId="0" fontId="139" fillId="7" borderId="36" applyNumberFormat="0" applyAlignment="0" applyProtection="0"/>
    <xf numFmtId="0" fontId="81" fillId="40" borderId="36" applyNumberFormat="0" applyAlignment="0" applyProtection="0"/>
    <xf numFmtId="0" fontId="143" fillId="0" borderId="39" applyNumberFormat="0" applyFill="0" applyAlignment="0" applyProtection="0"/>
    <xf numFmtId="0" fontId="55" fillId="11" borderId="38" applyNumberFormat="0" applyAlignment="0" applyProtection="0"/>
    <xf numFmtId="0" fontId="20" fillId="0" borderId="0"/>
    <xf numFmtId="0" fontId="20" fillId="9" borderId="37" applyNumberFormat="0" applyFont="0" applyAlignment="0" applyProtection="0"/>
    <xf numFmtId="0" fontId="73" fillId="4" borderId="36" applyNumberFormat="0" applyAlignment="0" applyProtection="0"/>
    <xf numFmtId="0" fontId="81" fillId="40" borderId="36" applyNumberFormat="0" applyAlignment="0" applyProtection="0"/>
    <xf numFmtId="0" fontId="40" fillId="11" borderId="36" applyNumberFormat="0" applyAlignment="0" applyProtection="0"/>
    <xf numFmtId="0" fontId="81" fillId="40" borderId="36" applyNumberFormat="0" applyAlignment="0" applyProtection="0"/>
    <xf numFmtId="184" fontId="81" fillId="40" borderId="36" applyNumberFormat="0" applyAlignment="0" applyProtection="0"/>
    <xf numFmtId="0" fontId="81" fillId="40" borderId="36" applyNumberFormat="0" applyAlignment="0" applyProtection="0"/>
    <xf numFmtId="0" fontId="81" fillId="40" borderId="36" applyNumberFormat="0" applyAlignment="0" applyProtection="0"/>
    <xf numFmtId="0" fontId="81" fillId="40" borderId="36" applyNumberFormat="0" applyAlignment="0" applyProtection="0"/>
    <xf numFmtId="0" fontId="81" fillId="40" borderId="36" applyNumberFormat="0" applyAlignment="0" applyProtection="0"/>
    <xf numFmtId="43" fontId="8" fillId="0" borderId="0" applyFont="0" applyFill="0" applyBorder="0" applyAlignment="0" applyProtection="0"/>
    <xf numFmtId="0" fontId="143" fillId="0" borderId="39"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0" fillId="0" borderId="0"/>
    <xf numFmtId="0" fontId="55" fillId="11" borderId="38" applyNumberFormat="0" applyAlignment="0" applyProtection="0"/>
    <xf numFmtId="0" fontId="20" fillId="0" borderId="0"/>
    <xf numFmtId="0" fontId="20" fillId="0" borderId="0">
      <alignment shrinkToFit="1"/>
    </xf>
    <xf numFmtId="0" fontId="20" fillId="9" borderId="37" applyNumberFormat="0" applyFont="0" applyAlignment="0" applyProtection="0"/>
    <xf numFmtId="0" fontId="55" fillId="11" borderId="38" applyNumberFormat="0" applyAlignment="0" applyProtection="0"/>
    <xf numFmtId="0" fontId="64" fillId="14" borderId="36" applyNumberFormat="0" applyAlignment="0" applyProtection="0"/>
    <xf numFmtId="0" fontId="87" fillId="38" borderId="36" applyNumberFormat="0" applyAlignment="0" applyProtection="0"/>
    <xf numFmtId="0" fontId="51" fillId="7" borderId="36" applyNumberFormat="0" applyAlignment="0" applyProtection="0"/>
    <xf numFmtId="0" fontId="87" fillId="38" borderId="36" applyNumberFormat="0" applyAlignment="0" applyProtection="0"/>
    <xf numFmtId="184" fontId="87" fillId="38" borderId="36" applyNumberFormat="0" applyAlignment="0" applyProtection="0"/>
    <xf numFmtId="0" fontId="87" fillId="38" borderId="36" applyNumberFormat="0" applyAlignment="0" applyProtection="0"/>
    <xf numFmtId="0" fontId="87" fillId="38" borderId="36" applyNumberFormat="0" applyAlignment="0" applyProtection="0"/>
    <xf numFmtId="0" fontId="87" fillId="38" borderId="36" applyNumberFormat="0" applyAlignment="0" applyProtection="0"/>
    <xf numFmtId="0" fontId="87" fillId="38" borderId="36" applyNumberFormat="0" applyAlignment="0" applyProtection="0"/>
    <xf numFmtId="0" fontId="20" fillId="0" borderId="0"/>
    <xf numFmtId="0" fontId="56" fillId="0" borderId="39" applyNumberFormat="0" applyFill="0" applyAlignment="0" applyProtection="0"/>
    <xf numFmtId="0" fontId="20" fillId="0" borderId="0">
      <alignment shrinkToFit="1"/>
    </xf>
    <xf numFmtId="0" fontId="20" fillId="0" borderId="0">
      <alignment shrinkToFit="1"/>
    </xf>
    <xf numFmtId="0" fontId="51" fillId="7" borderId="36" applyNumberFormat="0" applyAlignment="0" applyProtection="0"/>
    <xf numFmtId="0" fontId="40" fillId="11" borderId="36" applyNumberFormat="0" applyAlignment="0" applyProtection="0"/>
    <xf numFmtId="0" fontId="56" fillId="0" borderId="39" applyNumberFormat="0" applyFill="0" applyAlignment="0" applyProtection="0"/>
    <xf numFmtId="0" fontId="55" fillId="11" borderId="38" applyNumberFormat="0" applyAlignment="0" applyProtection="0"/>
    <xf numFmtId="0" fontId="20" fillId="9" borderId="3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7" borderId="3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shrinkToFit="1"/>
    </xf>
    <xf numFmtId="0" fontId="20" fillId="0" borderId="0"/>
    <xf numFmtId="0" fontId="3" fillId="0" borderId="0"/>
    <xf numFmtId="0" fontId="135" fillId="11" borderId="36" applyNumberFormat="0" applyAlignment="0" applyProtection="0"/>
    <xf numFmtId="0" fontId="3" fillId="0" borderId="0"/>
    <xf numFmtId="184" fontId="20" fillId="0" borderId="0"/>
    <xf numFmtId="0" fontId="3" fillId="0" borderId="0"/>
    <xf numFmtId="0" fontId="3" fillId="0" borderId="0"/>
    <xf numFmtId="0" fontId="3" fillId="0" borderId="0"/>
    <xf numFmtId="0" fontId="3" fillId="0" borderId="0"/>
    <xf numFmtId="0" fontId="51" fillId="7" borderId="36" applyNumberFormat="0" applyAlignment="0" applyProtection="0"/>
    <xf numFmtId="184" fontId="31" fillId="0" borderId="41" applyNumberFormat="0" applyFill="0" applyAlignment="0" applyProtection="0"/>
    <xf numFmtId="0" fontId="33" fillId="9" borderId="37" applyNumberFormat="0" applyFont="0" applyAlignment="0" applyProtection="0"/>
    <xf numFmtId="0" fontId="69" fillId="9" borderId="37" applyNumberFormat="0" applyFont="0" applyAlignment="0" applyProtection="0"/>
    <xf numFmtId="0" fontId="32" fillId="37" borderId="37" applyNumberFormat="0" applyFont="0" applyAlignment="0" applyProtection="0"/>
    <xf numFmtId="184" fontId="89" fillId="40" borderId="38" applyNumberFormat="0" applyAlignment="0" applyProtection="0"/>
    <xf numFmtId="0" fontId="33" fillId="9" borderId="37" applyNumberFormat="0" applyFont="0" applyAlignment="0" applyProtection="0"/>
    <xf numFmtId="0" fontId="32" fillId="37" borderId="37" applyNumberFormat="0" applyFont="0" applyAlignment="0" applyProtection="0"/>
    <xf numFmtId="184" fontId="32" fillId="37" borderId="37" applyNumberFormat="0" applyFont="0" applyAlignment="0" applyProtection="0"/>
    <xf numFmtId="0" fontId="32" fillId="37" borderId="37" applyNumberFormat="0" applyFont="0" applyAlignment="0" applyProtection="0"/>
    <xf numFmtId="0" fontId="32" fillId="37" borderId="37" applyNumberFormat="0" applyFont="0" applyAlignment="0" applyProtection="0"/>
    <xf numFmtId="0" fontId="32" fillId="37" borderId="37" applyNumberFormat="0" applyFont="0" applyAlignment="0" applyProtection="0"/>
    <xf numFmtId="0" fontId="32" fillId="37" borderId="37" applyNumberFormat="0" applyFont="0" applyAlignment="0" applyProtection="0"/>
    <xf numFmtId="0" fontId="65" fillId="4" borderId="38" applyNumberFormat="0" applyAlignment="0" applyProtection="0"/>
    <xf numFmtId="0" fontId="89" fillId="40" borderId="38" applyNumberFormat="0" applyAlignment="0" applyProtection="0"/>
    <xf numFmtId="0" fontId="55" fillId="11" borderId="38" applyNumberFormat="0" applyAlignment="0" applyProtection="0"/>
    <xf numFmtId="0" fontId="89" fillId="40" borderId="38" applyNumberFormat="0" applyAlignment="0" applyProtection="0"/>
    <xf numFmtId="184" fontId="89" fillId="40" borderId="38" applyNumberFormat="0" applyAlignment="0" applyProtection="0"/>
    <xf numFmtId="0" fontId="89" fillId="40" borderId="38" applyNumberFormat="0" applyAlignment="0" applyProtection="0"/>
    <xf numFmtId="0" fontId="89" fillId="40" borderId="38" applyNumberFormat="0" applyAlignment="0" applyProtection="0"/>
    <xf numFmtId="0" fontId="89" fillId="40" borderId="38" applyNumberFormat="0" applyAlignment="0" applyProtection="0"/>
    <xf numFmtId="0" fontId="89" fillId="40" borderId="38" applyNumberFormat="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7" fillId="38" borderId="36" applyNumberFormat="0" applyAlignment="0" applyProtection="0"/>
    <xf numFmtId="0" fontId="87" fillId="38" borderId="36" applyNumberFormat="0" applyAlignment="0" applyProtection="0"/>
    <xf numFmtId="0" fontId="66" fillId="0" borderId="40" applyNumberFormat="0" applyFill="0" applyAlignment="0" applyProtection="0"/>
    <xf numFmtId="0" fontId="31" fillId="0" borderId="41" applyNumberFormat="0" applyFill="0" applyAlignment="0" applyProtection="0"/>
    <xf numFmtId="0" fontId="56" fillId="0" borderId="39" applyNumberFormat="0" applyFill="0" applyAlignment="0" applyProtection="0"/>
    <xf numFmtId="0" fontId="31" fillId="0" borderId="41" applyNumberFormat="0" applyFill="0" applyAlignment="0" applyProtection="0"/>
    <xf numFmtId="0" fontId="31" fillId="0" borderId="41" applyNumberFormat="0" applyFill="0" applyAlignment="0" applyProtection="0"/>
    <xf numFmtId="184" fontId="31" fillId="0" borderId="41" applyNumberFormat="0" applyFill="0" applyAlignment="0" applyProtection="0"/>
    <xf numFmtId="0" fontId="31" fillId="0" borderId="41" applyNumberFormat="0" applyFill="0" applyAlignment="0" applyProtection="0"/>
    <xf numFmtId="0" fontId="32" fillId="37" borderId="37" applyNumberFormat="0" applyFont="0" applyAlignment="0" applyProtection="0"/>
    <xf numFmtId="0" fontId="31" fillId="0" borderId="41" applyNumberFormat="0" applyFill="0" applyAlignment="0" applyProtection="0"/>
    <xf numFmtId="0" fontId="31" fillId="0" borderId="41" applyNumberFormat="0" applyFill="0" applyAlignment="0" applyProtection="0"/>
    <xf numFmtId="0" fontId="32" fillId="37" borderId="37" applyNumberFormat="0" applyFont="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11" borderId="36" applyNumberForma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9" fillId="9" borderId="37" applyNumberFormat="0" applyFont="0" applyAlignment="0" applyProtection="0"/>
    <xf numFmtId="0" fontId="33" fillId="9" borderId="37" applyNumberFormat="0" applyFont="0" applyAlignment="0" applyProtection="0"/>
    <xf numFmtId="0" fontId="32" fillId="37" borderId="37" applyNumberFormat="0" applyFont="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shrinkToFit="1"/>
    </xf>
    <xf numFmtId="0" fontId="20" fillId="0" borderId="0"/>
    <xf numFmtId="0" fontId="73" fillId="4" borderId="36" applyNumberFormat="0" applyAlignment="0" applyProtection="0"/>
    <xf numFmtId="0" fontId="81" fillId="40" borderId="36" applyNumberFormat="0" applyAlignment="0" applyProtection="0"/>
    <xf numFmtId="0" fontId="40" fillId="11" borderId="36" applyNumberFormat="0" applyAlignment="0" applyProtection="0"/>
    <xf numFmtId="0" fontId="81" fillId="40" borderId="36" applyNumberFormat="0" applyAlignment="0" applyProtection="0"/>
    <xf numFmtId="184" fontId="81" fillId="40" borderId="36" applyNumberFormat="0" applyAlignment="0" applyProtection="0"/>
    <xf numFmtId="0" fontId="81" fillId="40" borderId="36" applyNumberFormat="0" applyAlignment="0" applyProtection="0"/>
    <xf numFmtId="0" fontId="81" fillId="40" borderId="36" applyNumberFormat="0" applyAlignment="0" applyProtection="0"/>
    <xf numFmtId="0" fontId="81" fillId="40" borderId="36" applyNumberFormat="0" applyAlignment="0" applyProtection="0"/>
    <xf numFmtId="0" fontId="81" fillId="40" borderId="36" applyNumberFormat="0" applyAlignment="0" applyProtection="0"/>
    <xf numFmtId="0" fontId="87" fillId="38" borderId="36" applyNumberFormat="0" applyAlignment="0" applyProtection="0"/>
    <xf numFmtId="0" fontId="87" fillId="38" borderId="36" applyNumberFormat="0" applyAlignment="0" applyProtection="0"/>
    <xf numFmtId="184" fontId="87" fillId="38" borderId="36" applyNumberFormat="0" applyAlignment="0" applyProtection="0"/>
    <xf numFmtId="0" fontId="87" fillId="38" borderId="36" applyNumberFormat="0" applyAlignment="0" applyProtection="0"/>
    <xf numFmtId="0" fontId="64" fillId="14" borderId="36" applyNumberFormat="0" applyAlignment="0" applyProtection="0"/>
    <xf numFmtId="0" fontId="87" fillId="38" borderId="36" applyNumberFormat="0" applyAlignment="0" applyProtection="0"/>
    <xf numFmtId="0" fontId="51" fillId="7" borderId="36" applyNumberFormat="0" applyAlignment="0" applyProtection="0"/>
    <xf numFmtId="0" fontId="87" fillId="38" borderId="36" applyNumberFormat="0" applyAlignment="0" applyProtection="0"/>
    <xf numFmtId="184" fontId="87" fillId="38" borderId="36" applyNumberFormat="0" applyAlignment="0" applyProtection="0"/>
    <xf numFmtId="0" fontId="87" fillId="38" borderId="36" applyNumberFormat="0" applyAlignment="0" applyProtection="0"/>
    <xf numFmtId="0" fontId="87" fillId="38" borderId="36" applyNumberFormat="0" applyAlignment="0" applyProtection="0"/>
    <xf numFmtId="0" fontId="87" fillId="38" borderId="36" applyNumberFormat="0" applyAlignment="0" applyProtection="0"/>
    <xf numFmtId="0" fontId="87" fillId="38" borderId="36" applyNumberFormat="0" applyAlignment="0" applyProtection="0"/>
    <xf numFmtId="0" fontId="81" fillId="40" borderId="36" applyNumberFormat="0" applyAlignment="0" applyProtection="0"/>
    <xf numFmtId="0" fontId="81" fillId="40" borderId="36" applyNumberFormat="0" applyAlignment="0" applyProtection="0"/>
    <xf numFmtId="0" fontId="81" fillId="40" borderId="36" applyNumberFormat="0" applyAlignment="0" applyProtection="0"/>
    <xf numFmtId="0" fontId="81" fillId="40" borderId="36" applyNumberFormat="0" applyAlignment="0" applyProtection="0"/>
    <xf numFmtId="184" fontId="81" fillId="40" borderId="36" applyNumberFormat="0" applyAlignment="0" applyProtection="0"/>
    <xf numFmtId="0" fontId="40" fillId="11" borderId="36" applyNumberFormat="0" applyAlignment="0" applyProtection="0"/>
    <xf numFmtId="0" fontId="81" fillId="40" borderId="36" applyNumberFormat="0" applyAlignment="0" applyProtection="0"/>
    <xf numFmtId="0" fontId="73" fillId="4" borderId="36" applyNumberFormat="0" applyAlignment="0" applyProtection="0"/>
    <xf numFmtId="0" fontId="132" fillId="9" borderId="37" applyNumberFormat="0" applyFont="0" applyAlignment="0" applyProtection="0"/>
    <xf numFmtId="0" fontId="142" fillId="11" borderId="38" applyNumberFormat="0" applyAlignment="0" applyProtection="0"/>
    <xf numFmtId="0" fontId="31" fillId="0" borderId="41" applyNumberFormat="0" applyFill="0" applyAlignment="0" applyProtection="0"/>
    <xf numFmtId="0" fontId="20" fillId="9" borderId="37" applyNumberFormat="0" applyFont="0" applyAlignment="0" applyProtection="0"/>
    <xf numFmtId="0" fontId="51" fillId="7" borderId="36" applyNumberFormat="0" applyAlignment="0" applyProtection="0"/>
    <xf numFmtId="0" fontId="98" fillId="0" borderId="0"/>
    <xf numFmtId="0" fontId="33" fillId="9" borderId="37" applyNumberFormat="0" applyFont="0" applyAlignment="0" applyProtection="0"/>
    <xf numFmtId="0" fontId="69" fillId="9" borderId="37" applyNumberFormat="0" applyFont="0" applyAlignment="0" applyProtection="0"/>
    <xf numFmtId="0" fontId="32" fillId="37" borderId="37" applyNumberFormat="0" applyFont="0" applyAlignment="0" applyProtection="0"/>
    <xf numFmtId="0" fontId="33" fillId="9" borderId="37" applyNumberFormat="0" applyFont="0" applyAlignment="0" applyProtection="0"/>
    <xf numFmtId="0" fontId="32" fillId="37" borderId="37" applyNumberFormat="0" applyFont="0" applyAlignment="0" applyProtection="0"/>
    <xf numFmtId="184" fontId="32" fillId="37" borderId="37" applyNumberFormat="0" applyFont="0" applyAlignment="0" applyProtection="0"/>
    <xf numFmtId="0" fontId="32" fillId="37" borderId="37" applyNumberFormat="0" applyFont="0" applyAlignment="0" applyProtection="0"/>
    <xf numFmtId="0" fontId="32" fillId="37" borderId="37" applyNumberFormat="0" applyFont="0" applyAlignment="0" applyProtection="0"/>
    <xf numFmtId="0" fontId="32" fillId="37" borderId="37" applyNumberFormat="0" applyFont="0" applyAlignment="0" applyProtection="0"/>
    <xf numFmtId="0" fontId="32" fillId="37" borderId="37" applyNumberFormat="0" applyFont="0" applyAlignment="0" applyProtection="0"/>
    <xf numFmtId="0" fontId="65" fillId="4" borderId="38" applyNumberFormat="0" applyAlignment="0" applyProtection="0"/>
    <xf numFmtId="0" fontId="89" fillId="40" borderId="38" applyNumberFormat="0" applyAlignment="0" applyProtection="0"/>
    <xf numFmtId="0" fontId="55" fillId="11" borderId="38" applyNumberFormat="0" applyAlignment="0" applyProtection="0"/>
    <xf numFmtId="0" fontId="89" fillId="40" borderId="38" applyNumberFormat="0" applyAlignment="0" applyProtection="0"/>
    <xf numFmtId="184" fontId="89" fillId="40" borderId="38" applyNumberFormat="0" applyAlignment="0" applyProtection="0"/>
    <xf numFmtId="0" fontId="89" fillId="40" borderId="38" applyNumberFormat="0" applyAlignment="0" applyProtection="0"/>
    <xf numFmtId="0" fontId="89" fillId="40" borderId="38" applyNumberFormat="0" applyAlignment="0" applyProtection="0"/>
    <xf numFmtId="0" fontId="89" fillId="40" borderId="38" applyNumberFormat="0" applyAlignment="0" applyProtection="0"/>
    <xf numFmtId="0" fontId="89" fillId="40" borderId="38" applyNumberFormat="0" applyAlignment="0" applyProtection="0"/>
    <xf numFmtId="0" fontId="31" fillId="0" borderId="41" applyNumberFormat="0" applyFill="0" applyAlignment="0" applyProtection="0"/>
    <xf numFmtId="0" fontId="66" fillId="0" borderId="40" applyNumberFormat="0" applyFill="0" applyAlignment="0" applyProtection="0"/>
    <xf numFmtId="0" fontId="31" fillId="0" borderId="41" applyNumberFormat="0" applyFill="0" applyAlignment="0" applyProtection="0"/>
    <xf numFmtId="0" fontId="56" fillId="0" borderId="39" applyNumberFormat="0" applyFill="0" applyAlignment="0" applyProtection="0"/>
    <xf numFmtId="0" fontId="31" fillId="0" borderId="41" applyNumberFormat="0" applyFill="0" applyAlignment="0" applyProtection="0"/>
    <xf numFmtId="0" fontId="31" fillId="0" borderId="41" applyNumberFormat="0" applyFill="0" applyAlignment="0" applyProtection="0"/>
    <xf numFmtId="184" fontId="31" fillId="0" borderId="41" applyNumberFormat="0" applyFill="0" applyAlignment="0" applyProtection="0"/>
    <xf numFmtId="0" fontId="31" fillId="0" borderId="41" applyNumberFormat="0" applyFill="0" applyAlignment="0" applyProtection="0"/>
    <xf numFmtId="0" fontId="31" fillId="0" borderId="41" applyNumberFormat="0" applyFill="0" applyAlignment="0" applyProtection="0"/>
    <xf numFmtId="0" fontId="31" fillId="0" borderId="41" applyNumberFormat="0" applyFill="0" applyAlignment="0" applyProtection="0"/>
    <xf numFmtId="0" fontId="20" fillId="0" borderId="0">
      <alignment shrinkToFit="1"/>
    </xf>
    <xf numFmtId="0" fontId="51" fillId="7" borderId="36" applyNumberFormat="0" applyAlignment="0" applyProtection="0"/>
    <xf numFmtId="0" fontId="20" fillId="0" borderId="0">
      <alignment shrinkToFit="1"/>
    </xf>
    <xf numFmtId="0" fontId="98" fillId="0" borderId="0"/>
    <xf numFmtId="0" fontId="20" fillId="0" borderId="0"/>
    <xf numFmtId="0" fontId="20" fillId="0" borderId="0"/>
    <xf numFmtId="0" fontId="20" fillId="0" borderId="0">
      <alignment shrinkToFit="1"/>
    </xf>
    <xf numFmtId="189" fontId="32" fillId="0" borderId="0" applyFont="0" applyFill="0" applyBorder="0" applyAlignment="0" applyProtection="0"/>
    <xf numFmtId="0" fontId="3" fillId="0" borderId="0"/>
    <xf numFmtId="0" fontId="117" fillId="0" borderId="0"/>
    <xf numFmtId="0" fontId="117" fillId="0" borderId="0"/>
    <xf numFmtId="0" fontId="117" fillId="0" borderId="0"/>
    <xf numFmtId="0" fontId="98"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98" fillId="0" borderId="0"/>
    <xf numFmtId="0" fontId="98" fillId="0" borderId="0"/>
    <xf numFmtId="0" fontId="98" fillId="0" borderId="0"/>
    <xf numFmtId="0" fontId="3" fillId="0" borderId="0"/>
    <xf numFmtId="0" fontId="98" fillId="0" borderId="0"/>
    <xf numFmtId="0" fontId="40" fillId="11" borderId="42" applyNumberFormat="0" applyAlignment="0" applyProtection="0"/>
    <xf numFmtId="43" fontId="3" fillId="0" borderId="0" applyFont="0" applyFill="0" applyBorder="0" applyAlignment="0" applyProtection="0"/>
    <xf numFmtId="0" fontId="51" fillId="7" borderId="4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9" borderId="43" applyNumberFormat="0" applyFont="0" applyAlignment="0" applyProtection="0"/>
    <xf numFmtId="0" fontId="55" fillId="11" borderId="44" applyNumberFormat="0" applyAlignment="0" applyProtection="0"/>
    <xf numFmtId="0" fontId="56" fillId="0" borderId="45" applyNumberFormat="0" applyFill="0" applyAlignment="0" applyProtection="0"/>
    <xf numFmtId="0" fontId="98" fillId="0" borderId="0"/>
    <xf numFmtId="0" fontId="98" fillId="0" borderId="0"/>
    <xf numFmtId="0" fontId="98" fillId="0" borderId="0"/>
    <xf numFmtId="0" fontId="3" fillId="0" borderId="0"/>
    <xf numFmtId="0" fontId="98" fillId="0" borderId="0"/>
    <xf numFmtId="0" fontId="20" fillId="0" borderId="0"/>
    <xf numFmtId="0" fontId="20" fillId="0" borderId="0"/>
    <xf numFmtId="0" fontId="3" fillId="47"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20" fillId="0" borderId="0"/>
    <xf numFmtId="0" fontId="20" fillId="0" borderId="0"/>
    <xf numFmtId="0" fontId="98" fillId="0" borderId="0"/>
    <xf numFmtId="0" fontId="98" fillId="0" borderId="0"/>
    <xf numFmtId="0" fontId="98" fillId="0" borderId="0"/>
    <xf numFmtId="0" fontId="3" fillId="0" borderId="0"/>
    <xf numFmtId="0" fontId="98"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98" fillId="0" borderId="0"/>
    <xf numFmtId="0" fontId="98" fillId="0" borderId="0"/>
    <xf numFmtId="0" fontId="98"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117" fillId="0" borderId="0"/>
    <xf numFmtId="0" fontId="98" fillId="0" borderId="0"/>
    <xf numFmtId="0" fontId="98" fillId="0" borderId="0"/>
    <xf numFmtId="0" fontId="98" fillId="0" borderId="0"/>
    <xf numFmtId="0" fontId="98" fillId="0" borderId="0"/>
    <xf numFmtId="0" fontId="117" fillId="0" borderId="0"/>
    <xf numFmtId="0" fontId="98"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98" fillId="0" borderId="0"/>
    <xf numFmtId="0" fontId="98" fillId="0" borderId="0"/>
    <xf numFmtId="0" fontId="98" fillId="0" borderId="0"/>
    <xf numFmtId="0" fontId="98" fillId="0" borderId="0"/>
    <xf numFmtId="0" fontId="3" fillId="0" borderId="0"/>
    <xf numFmtId="0" fontId="20" fillId="0" borderId="0"/>
    <xf numFmtId="0" fontId="20" fillId="0" borderId="0"/>
    <xf numFmtId="0" fontId="20" fillId="0" borderId="0"/>
    <xf numFmtId="0" fontId="98" fillId="0" borderId="0"/>
    <xf numFmtId="0" fontId="20" fillId="0" borderId="0"/>
    <xf numFmtId="0" fontId="3" fillId="47"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98" fillId="0" borderId="0"/>
    <xf numFmtId="0" fontId="98" fillId="0" borderId="0"/>
    <xf numFmtId="0" fontId="98" fillId="0" borderId="0"/>
    <xf numFmtId="0" fontId="98"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98" fillId="0" borderId="0"/>
    <xf numFmtId="0" fontId="98" fillId="0" borderId="0"/>
    <xf numFmtId="0" fontId="98" fillId="0" borderId="0"/>
    <xf numFmtId="0" fontId="98"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98" fillId="0" borderId="0"/>
    <xf numFmtId="0" fontId="98" fillId="0" borderId="0"/>
    <xf numFmtId="0" fontId="3" fillId="0" borderId="0"/>
    <xf numFmtId="0" fontId="98"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117" fillId="0" borderId="0"/>
    <xf numFmtId="0" fontId="117" fillId="0" borderId="0"/>
    <xf numFmtId="0" fontId="117" fillId="0" borderId="0"/>
    <xf numFmtId="0" fontId="98" fillId="0" borderId="0"/>
    <xf numFmtId="0" fontId="98" fillId="0" borderId="0"/>
    <xf numFmtId="0" fontId="98" fillId="0" borderId="0"/>
    <xf numFmtId="0" fontId="3" fillId="0" borderId="0"/>
    <xf numFmtId="0" fontId="98"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98" fillId="0" borderId="0"/>
    <xf numFmtId="0" fontId="98" fillId="0" borderId="0"/>
    <xf numFmtId="0" fontId="98" fillId="0" borderId="0"/>
    <xf numFmtId="0" fontId="3" fillId="0" borderId="0"/>
    <xf numFmtId="0" fontId="98"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98" fillId="0" borderId="0"/>
    <xf numFmtId="0" fontId="98" fillId="0" borderId="0"/>
    <xf numFmtId="0" fontId="3" fillId="0" borderId="0"/>
    <xf numFmtId="0" fontId="98"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7" fillId="0" borderId="0"/>
    <xf numFmtId="0" fontId="1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98" fillId="0" borderId="0"/>
    <xf numFmtId="0" fontId="98"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98" fillId="0" borderId="0"/>
    <xf numFmtId="0" fontId="98" fillId="0" borderId="0"/>
    <xf numFmtId="0" fontId="98" fillId="0" borderId="0"/>
    <xf numFmtId="0" fontId="98" fillId="0" borderId="0"/>
    <xf numFmtId="0" fontId="32"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117" fillId="0" borderId="0"/>
    <xf numFmtId="0" fontId="98" fillId="0" borderId="0"/>
    <xf numFmtId="0" fontId="98" fillId="0" borderId="0"/>
    <xf numFmtId="0" fontId="98" fillId="0" borderId="0"/>
    <xf numFmtId="0" fontId="98" fillId="0" borderId="0"/>
    <xf numFmtId="0" fontId="20" fillId="0" borderId="0"/>
    <xf numFmtId="0" fontId="145" fillId="0" borderId="0" applyNumberFormat="0" applyFill="0" applyBorder="0" applyAlignment="0" applyProtection="0">
      <alignment vertical="top"/>
      <protection locked="0"/>
    </xf>
    <xf numFmtId="0" fontId="98"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98" fillId="0" borderId="0"/>
    <xf numFmtId="0" fontId="98" fillId="0" borderId="0"/>
    <xf numFmtId="0" fontId="98" fillId="0" borderId="0"/>
    <xf numFmtId="0" fontId="3" fillId="0" borderId="0"/>
    <xf numFmtId="0" fontId="20" fillId="0" borderId="0"/>
    <xf numFmtId="0" fontId="3" fillId="47" borderId="0" applyNumberFormat="0" applyBorder="0" applyAlignment="0" applyProtection="0"/>
    <xf numFmtId="43" fontId="3" fillId="0" borderId="0" applyFont="0" applyFill="0" applyBorder="0" applyAlignment="0" applyProtection="0"/>
    <xf numFmtId="0" fontId="20" fillId="0" borderId="0"/>
    <xf numFmtId="0" fontId="3" fillId="0" borderId="0"/>
    <xf numFmtId="0" fontId="40" fillId="11" borderId="42" applyNumberFormat="0" applyAlignment="0" applyProtection="0"/>
    <xf numFmtId="43" fontId="3" fillId="0" borderId="0" applyFont="0" applyFill="0" applyBorder="0" applyAlignment="0" applyProtection="0"/>
    <xf numFmtId="0" fontId="51" fillId="7" borderId="4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9" borderId="43" applyNumberFormat="0" applyFont="0" applyAlignment="0" applyProtection="0"/>
    <xf numFmtId="0" fontId="55" fillId="11" borderId="44" applyNumberFormat="0" applyAlignment="0" applyProtection="0"/>
    <xf numFmtId="0" fontId="56" fillId="0" borderId="45" applyNumberFormat="0" applyFill="0" applyAlignment="0" applyProtection="0"/>
    <xf numFmtId="0" fontId="98" fillId="0" borderId="0"/>
    <xf numFmtId="0" fontId="20" fillId="0" borderId="0"/>
    <xf numFmtId="0" fontId="117" fillId="0" borderId="0"/>
    <xf numFmtId="0" fontId="117" fillId="0" borderId="0"/>
    <xf numFmtId="0" fontId="117" fillId="0" borderId="0"/>
    <xf numFmtId="0" fontId="117" fillId="0" borderId="0"/>
    <xf numFmtId="0" fontId="117" fillId="0" borderId="0"/>
    <xf numFmtId="0" fontId="98" fillId="0" borderId="0"/>
    <xf numFmtId="0" fontId="98" fillId="0" borderId="0"/>
    <xf numFmtId="0" fontId="98" fillId="0" borderId="0"/>
    <xf numFmtId="0" fontId="98" fillId="0" borderId="0"/>
    <xf numFmtId="0" fontId="117"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98" fillId="0" borderId="0"/>
    <xf numFmtId="0" fontId="98" fillId="0" borderId="0"/>
    <xf numFmtId="0" fontId="98" fillId="0" borderId="0"/>
    <xf numFmtId="0" fontId="98" fillId="0" borderId="0"/>
    <xf numFmtId="0" fontId="8" fillId="0" borderId="0"/>
    <xf numFmtId="184" fontId="33" fillId="6" borderId="0" applyNumberFormat="0" applyBorder="0" applyAlignment="0" applyProtection="0"/>
    <xf numFmtId="184" fontId="33" fillId="9" borderId="0" applyNumberFormat="0" applyBorder="0" applyAlignment="0" applyProtection="0"/>
    <xf numFmtId="184" fontId="33" fillId="11" borderId="0" applyNumberFormat="0" applyBorder="0" applyAlignment="0" applyProtection="0"/>
    <xf numFmtId="184" fontId="33" fillId="12" borderId="0" applyNumberFormat="0" applyBorder="0" applyAlignment="0" applyProtection="0"/>
    <xf numFmtId="184" fontId="33" fillId="9" borderId="0" applyNumberFormat="0" applyBorder="0" applyAlignment="0" applyProtection="0"/>
    <xf numFmtId="184" fontId="33" fillId="12" borderId="0" applyNumberFormat="0" applyBorder="0" applyAlignment="0" applyProtection="0"/>
    <xf numFmtId="184" fontId="33" fillId="6" borderId="0" applyNumberFormat="0" applyBorder="0" applyAlignment="0" applyProtection="0"/>
    <xf numFmtId="184" fontId="33" fillId="14" borderId="0" applyNumberFormat="0" applyBorder="0" applyAlignment="0" applyProtection="0"/>
    <xf numFmtId="184" fontId="33" fillId="5" borderId="0" applyNumberFormat="0" applyBorder="0" applyAlignment="0" applyProtection="0"/>
    <xf numFmtId="184" fontId="33" fillId="12" borderId="0" applyNumberFormat="0" applyBorder="0" applyAlignment="0" applyProtection="0"/>
    <xf numFmtId="184" fontId="33" fillId="9" borderId="0" applyNumberFormat="0" applyBorder="0" applyAlignment="0" applyProtection="0"/>
    <xf numFmtId="184" fontId="38" fillId="12" borderId="0" applyNumberFormat="0" applyBorder="0" applyAlignment="0" applyProtection="0"/>
    <xf numFmtId="184" fontId="38" fillId="18" borderId="0" applyNumberFormat="0" applyBorder="0" applyAlignment="0" applyProtection="0"/>
    <xf numFmtId="184" fontId="38" fillId="15" borderId="0" applyNumberFormat="0" applyBorder="0" applyAlignment="0" applyProtection="0"/>
    <xf numFmtId="184" fontId="38" fillId="5" borderId="0" applyNumberFormat="0" applyBorder="0" applyAlignment="0" applyProtection="0"/>
    <xf numFmtId="184" fontId="38" fillId="12" borderId="0" applyNumberFormat="0" applyBorder="0" applyAlignment="0" applyProtection="0"/>
    <xf numFmtId="184" fontId="38" fillId="6" borderId="0" applyNumberFormat="0" applyBorder="0" applyAlignment="0" applyProtection="0"/>
    <xf numFmtId="184" fontId="30" fillId="26" borderId="0" applyNumberFormat="0" applyBorder="0" applyAlignment="0" applyProtection="0"/>
    <xf numFmtId="184" fontId="30" fillId="26" borderId="0" applyNumberFormat="0" applyBorder="0" applyAlignment="0" applyProtection="0"/>
    <xf numFmtId="184" fontId="30" fillId="26" borderId="0" applyNumberFormat="0" applyBorder="0" applyAlignment="0" applyProtection="0"/>
    <xf numFmtId="184" fontId="30" fillId="26" borderId="0" applyNumberFormat="0" applyBorder="0" applyAlignment="0" applyProtection="0"/>
    <xf numFmtId="184" fontId="30" fillId="26" borderId="0" applyNumberFormat="0" applyBorder="0" applyAlignment="0" applyProtection="0"/>
    <xf numFmtId="184" fontId="30" fillId="26" borderId="0" applyNumberFormat="0" applyBorder="0" applyAlignment="0" applyProtection="0"/>
    <xf numFmtId="184" fontId="30" fillId="26" borderId="0" applyNumberFormat="0" applyBorder="0" applyAlignment="0" applyProtection="0"/>
    <xf numFmtId="184" fontId="30" fillId="26" borderId="0" applyNumberFormat="0" applyBorder="0" applyAlignment="0" applyProtection="0"/>
    <xf numFmtId="184" fontId="30" fillId="26" borderId="0" applyNumberFormat="0" applyBorder="0" applyAlignment="0" applyProtection="0"/>
    <xf numFmtId="184" fontId="30" fillId="30" borderId="0" applyNumberFormat="0" applyBorder="0" applyAlignment="0" applyProtection="0"/>
    <xf numFmtId="184" fontId="30" fillId="30" borderId="0" applyNumberFormat="0" applyBorder="0" applyAlignment="0" applyProtection="0"/>
    <xf numFmtId="184" fontId="30" fillId="30" borderId="0" applyNumberFormat="0" applyBorder="0" applyAlignment="0" applyProtection="0"/>
    <xf numFmtId="184" fontId="30" fillId="30" borderId="0" applyNumberFormat="0" applyBorder="0" applyAlignment="0" applyProtection="0"/>
    <xf numFmtId="184" fontId="30" fillId="30" borderId="0" applyNumberFormat="0" applyBorder="0" applyAlignment="0" applyProtection="0"/>
    <xf numFmtId="184" fontId="30" fillId="30" borderId="0" applyNumberFormat="0" applyBorder="0" applyAlignment="0" applyProtection="0"/>
    <xf numFmtId="184" fontId="30" fillId="30" borderId="0" applyNumberFormat="0" applyBorder="0" applyAlignment="0" applyProtection="0"/>
    <xf numFmtId="184" fontId="30" fillId="30" borderId="0" applyNumberFormat="0" applyBorder="0" applyAlignment="0" applyProtection="0"/>
    <xf numFmtId="184" fontId="30" fillId="30" borderId="0" applyNumberFormat="0" applyBorder="0" applyAlignment="0" applyProtection="0"/>
    <xf numFmtId="184" fontId="30" fillId="32" borderId="0" applyNumberFormat="0" applyBorder="0" applyAlignment="0" applyProtection="0"/>
    <xf numFmtId="184" fontId="30" fillId="32" borderId="0" applyNumberFormat="0" applyBorder="0" applyAlignment="0" applyProtection="0"/>
    <xf numFmtId="184" fontId="30" fillId="32" borderId="0" applyNumberFormat="0" applyBorder="0" applyAlignment="0" applyProtection="0"/>
    <xf numFmtId="184" fontId="30" fillId="32" borderId="0" applyNumberFormat="0" applyBorder="0" applyAlignment="0" applyProtection="0"/>
    <xf numFmtId="184" fontId="30" fillId="32" borderId="0" applyNumberFormat="0" applyBorder="0" applyAlignment="0" applyProtection="0"/>
    <xf numFmtId="184" fontId="30" fillId="32" borderId="0" applyNumberFormat="0" applyBorder="0" applyAlignment="0" applyProtection="0"/>
    <xf numFmtId="184" fontId="30" fillId="32" borderId="0" applyNumberFormat="0" applyBorder="0" applyAlignment="0" applyProtection="0"/>
    <xf numFmtId="184" fontId="30" fillId="32" borderId="0" applyNumberFormat="0" applyBorder="0" applyAlignment="0" applyProtection="0"/>
    <xf numFmtId="184" fontId="30" fillId="32" borderId="0" applyNumberFormat="0" applyBorder="0" applyAlignment="0" applyProtection="0"/>
    <xf numFmtId="184" fontId="30" fillId="34" borderId="0" applyNumberFormat="0" applyBorder="0" applyAlignment="0" applyProtection="0"/>
    <xf numFmtId="184" fontId="30" fillId="34" borderId="0" applyNumberFormat="0" applyBorder="0" applyAlignment="0" applyProtection="0"/>
    <xf numFmtId="184" fontId="30" fillId="34" borderId="0" applyNumberFormat="0" applyBorder="0" applyAlignment="0" applyProtection="0"/>
    <xf numFmtId="184" fontId="30" fillId="34" borderId="0" applyNumberFormat="0" applyBorder="0" applyAlignment="0" applyProtection="0"/>
    <xf numFmtId="184" fontId="30" fillId="34" borderId="0" applyNumberFormat="0" applyBorder="0" applyAlignment="0" applyProtection="0"/>
    <xf numFmtId="184" fontId="30" fillId="34" borderId="0" applyNumberFormat="0" applyBorder="0" applyAlignment="0" applyProtection="0"/>
    <xf numFmtId="184" fontId="30" fillId="34" borderId="0" applyNumberFormat="0" applyBorder="0" applyAlignment="0" applyProtection="0"/>
    <xf numFmtId="184" fontId="30" fillId="34" borderId="0" applyNumberFormat="0" applyBorder="0" applyAlignment="0" applyProtection="0"/>
    <xf numFmtId="184" fontId="30" fillId="34" borderId="0" applyNumberFormat="0" applyBorder="0" applyAlignment="0" applyProtection="0"/>
    <xf numFmtId="184" fontId="30" fillId="36" borderId="0" applyNumberFormat="0" applyBorder="0" applyAlignment="0" applyProtection="0"/>
    <xf numFmtId="184" fontId="30" fillId="36" borderId="0" applyNumberFormat="0" applyBorder="0" applyAlignment="0" applyProtection="0"/>
    <xf numFmtId="184" fontId="30" fillId="36" borderId="0" applyNumberFormat="0" applyBorder="0" applyAlignment="0" applyProtection="0"/>
    <xf numFmtId="184" fontId="30" fillId="36" borderId="0" applyNumberFormat="0" applyBorder="0" applyAlignment="0" applyProtection="0"/>
    <xf numFmtId="184" fontId="30" fillId="36" borderId="0" applyNumberFormat="0" applyBorder="0" applyAlignment="0" applyProtection="0"/>
    <xf numFmtId="184" fontId="30" fillId="36" borderId="0" applyNumberFormat="0" applyBorder="0" applyAlignment="0" applyProtection="0"/>
    <xf numFmtId="184" fontId="30" fillId="36" borderId="0" applyNumberFormat="0" applyBorder="0" applyAlignment="0" applyProtection="0"/>
    <xf numFmtId="184" fontId="30" fillId="36" borderId="0" applyNumberFormat="0" applyBorder="0" applyAlignment="0" applyProtection="0"/>
    <xf numFmtId="184" fontId="30" fillId="36" borderId="0" applyNumberFormat="0" applyBorder="0" applyAlignment="0" applyProtection="0"/>
    <xf numFmtId="184" fontId="30" fillId="39" borderId="0" applyNumberFormat="0" applyBorder="0" applyAlignment="0" applyProtection="0"/>
    <xf numFmtId="184" fontId="30" fillId="39" borderId="0" applyNumberFormat="0" applyBorder="0" applyAlignment="0" applyProtection="0"/>
    <xf numFmtId="184" fontId="30" fillId="39" borderId="0" applyNumberFormat="0" applyBorder="0" applyAlignment="0" applyProtection="0"/>
    <xf numFmtId="184" fontId="30" fillId="39" borderId="0" applyNumberFormat="0" applyBorder="0" applyAlignment="0" applyProtection="0"/>
    <xf numFmtId="184" fontId="30" fillId="39" borderId="0" applyNumberFormat="0" applyBorder="0" applyAlignment="0" applyProtection="0"/>
    <xf numFmtId="184" fontId="30" fillId="39" borderId="0" applyNumberFormat="0" applyBorder="0" applyAlignment="0" applyProtection="0"/>
    <xf numFmtId="184" fontId="30" fillId="39" borderId="0" applyNumberFormat="0" applyBorder="0" applyAlignment="0" applyProtection="0"/>
    <xf numFmtId="184" fontId="30" fillId="39" borderId="0" applyNumberFormat="0" applyBorder="0" applyAlignment="0" applyProtection="0"/>
    <xf numFmtId="184" fontId="30" fillId="39" borderId="0" applyNumberFormat="0" applyBorder="0" applyAlignment="0" applyProtection="0"/>
    <xf numFmtId="184" fontId="80" fillId="37" borderId="0" applyNumberFormat="0" applyBorder="0" applyAlignment="0" applyProtection="0"/>
    <xf numFmtId="184" fontId="81" fillId="40" borderId="42" applyNumberFormat="0" applyAlignment="0" applyProtection="0"/>
    <xf numFmtId="184" fontId="81" fillId="40" borderId="42" applyNumberFormat="0" applyAlignment="0" applyProtection="0"/>
    <xf numFmtId="184" fontId="81" fillId="40" borderId="42" applyNumberFormat="0" applyAlignment="0" applyProtection="0"/>
    <xf numFmtId="184" fontId="81" fillId="40" borderId="42" applyNumberFormat="0" applyAlignment="0" applyProtection="0"/>
    <xf numFmtId="0" fontId="40" fillId="11" borderId="42" applyNumberFormat="0" applyAlignment="0" applyProtection="0"/>
    <xf numFmtId="0" fontId="40" fillId="11"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0" fontId="73" fillId="4" borderId="42" applyNumberFormat="0" applyAlignment="0" applyProtection="0"/>
    <xf numFmtId="0" fontId="73" fillId="4" borderId="42" applyNumberFormat="0" applyAlignment="0" applyProtection="0"/>
    <xf numFmtId="0" fontId="73" fillId="4" borderId="42" applyNumberFormat="0" applyAlignment="0" applyProtection="0"/>
    <xf numFmtId="0" fontId="73" fillId="4" borderId="42" applyNumberFormat="0" applyAlignment="0" applyProtection="0"/>
    <xf numFmtId="0" fontId="73" fillId="4" borderId="42" applyNumberFormat="0" applyAlignment="0" applyProtection="0"/>
    <xf numFmtId="0" fontId="40" fillId="11" borderId="42" applyNumberFormat="0" applyAlignment="0" applyProtection="0"/>
    <xf numFmtId="0" fontId="40" fillId="11" borderId="42" applyNumberFormat="0" applyAlignment="0" applyProtection="0"/>
    <xf numFmtId="0" fontId="40" fillId="11" borderId="42" applyNumberFormat="0" applyAlignment="0" applyProtection="0"/>
    <xf numFmtId="0" fontId="40" fillId="11" borderId="42" applyNumberFormat="0" applyAlignment="0" applyProtection="0"/>
    <xf numFmtId="0" fontId="40" fillId="11" borderId="42" applyNumberFormat="0" applyAlignment="0" applyProtection="0"/>
    <xf numFmtId="0" fontId="40" fillId="11" borderId="42" applyNumberFormat="0" applyAlignment="0" applyProtection="0"/>
    <xf numFmtId="0" fontId="40" fillId="11" borderId="42" applyNumberFormat="0" applyAlignment="0" applyProtection="0"/>
    <xf numFmtId="0" fontId="40" fillId="11" borderId="42" applyNumberFormat="0" applyAlignment="0" applyProtection="0"/>
    <xf numFmtId="0" fontId="40" fillId="11" borderId="42" applyNumberFormat="0" applyAlignment="0" applyProtection="0"/>
    <xf numFmtId="0" fontId="40" fillId="11" borderId="42" applyNumberFormat="0" applyAlignment="0" applyProtection="0"/>
    <xf numFmtId="0" fontId="40" fillId="11" borderId="42" applyNumberFormat="0" applyAlignment="0" applyProtection="0"/>
    <xf numFmtId="0" fontId="40" fillId="11" borderId="42" applyNumberFormat="0" applyAlignment="0" applyProtection="0"/>
    <xf numFmtId="0" fontId="40" fillId="11"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0" fontId="135" fillId="11" borderId="42" applyNumberFormat="0" applyAlignment="0" applyProtection="0"/>
    <xf numFmtId="0" fontId="135" fillId="11"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184" fontId="81" fillId="40" borderId="42" applyNumberFormat="0" applyAlignment="0" applyProtection="0"/>
    <xf numFmtId="184" fontId="81" fillId="40" borderId="42" applyNumberFormat="0" applyAlignment="0" applyProtection="0"/>
    <xf numFmtId="184" fontId="81" fillId="40" borderId="42" applyNumberFormat="0" applyAlignment="0" applyProtection="0"/>
    <xf numFmtId="184" fontId="81" fillId="40" borderId="42" applyNumberFormat="0" applyAlignment="0" applyProtection="0"/>
    <xf numFmtId="184" fontId="81" fillId="40" borderId="42" applyNumberFormat="0" applyAlignment="0" applyProtection="0"/>
    <xf numFmtId="0" fontId="135" fillId="11" borderId="42" applyNumberFormat="0" applyAlignment="0" applyProtection="0"/>
    <xf numFmtId="0" fontId="135" fillId="11" borderId="42" applyNumberFormat="0" applyAlignment="0" applyProtection="0"/>
    <xf numFmtId="0" fontId="135" fillId="11"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0" fontId="81" fillId="40" borderId="42" applyNumberFormat="0" applyAlignment="0" applyProtection="0"/>
    <xf numFmtId="184" fontId="81" fillId="40" borderId="42" applyNumberFormat="0" applyAlignment="0" applyProtection="0"/>
    <xf numFmtId="184" fontId="81" fillId="40" borderId="42" applyNumberFormat="0" applyAlignment="0" applyProtection="0"/>
    <xf numFmtId="184" fontId="82" fillId="29" borderId="3" applyNumberFormat="0" applyAlignment="0" applyProtection="0"/>
    <xf numFmtId="43" fontId="20" fillId="0" borderId="0" applyFont="0" applyFill="0" applyBorder="0" applyAlignment="0" applyProtection="0"/>
    <xf numFmtId="184" fontId="44" fillId="0" borderId="0" applyNumberFormat="0" applyFill="0" applyBorder="0" applyAlignment="0" applyProtection="0"/>
    <xf numFmtId="184" fontId="83" fillId="45" borderId="0" applyNumberFormat="0" applyBorder="0" applyAlignment="0" applyProtection="0"/>
    <xf numFmtId="184" fontId="84" fillId="0" borderId="6" applyNumberFormat="0" applyFill="0" applyAlignment="0" applyProtection="0"/>
    <xf numFmtId="184" fontId="85" fillId="0" borderId="9" applyNumberFormat="0" applyFill="0" applyAlignment="0" applyProtection="0"/>
    <xf numFmtId="184" fontId="86" fillId="0" borderId="11" applyNumberFormat="0" applyFill="0" applyAlignment="0" applyProtection="0"/>
    <xf numFmtId="184" fontId="86" fillId="0" borderId="0" applyNumberFormat="0" applyFill="0" applyBorder="0" applyAlignment="0" applyProtection="0"/>
    <xf numFmtId="184" fontId="87" fillId="38" borderId="42" applyNumberFormat="0" applyAlignment="0" applyProtection="0"/>
    <xf numFmtId="184" fontId="87" fillId="38" borderId="42" applyNumberFormat="0" applyAlignment="0" applyProtection="0"/>
    <xf numFmtId="184" fontId="87" fillId="38" borderId="42" applyNumberFormat="0" applyAlignment="0" applyProtection="0"/>
    <xf numFmtId="184" fontId="87" fillId="38" borderId="42" applyNumberFormat="0" applyAlignment="0" applyProtection="0"/>
    <xf numFmtId="0" fontId="51" fillId="7" borderId="42" applyNumberFormat="0" applyAlignment="0" applyProtection="0"/>
    <xf numFmtId="0" fontId="51" fillId="7"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0" fontId="64" fillId="14" borderId="42" applyNumberFormat="0" applyAlignment="0" applyProtection="0"/>
    <xf numFmtId="0" fontId="64" fillId="14" borderId="42" applyNumberFormat="0" applyAlignment="0" applyProtection="0"/>
    <xf numFmtId="0" fontId="64" fillId="14" borderId="42" applyNumberFormat="0" applyAlignment="0" applyProtection="0"/>
    <xf numFmtId="0" fontId="64" fillId="14" borderId="42" applyNumberFormat="0" applyAlignment="0" applyProtection="0"/>
    <xf numFmtId="0" fontId="64" fillId="14" borderId="42" applyNumberFormat="0" applyAlignment="0" applyProtection="0"/>
    <xf numFmtId="0" fontId="51" fillId="7" borderId="42" applyNumberFormat="0" applyAlignment="0" applyProtection="0"/>
    <xf numFmtId="0" fontId="51" fillId="7" borderId="42" applyNumberFormat="0" applyAlignment="0" applyProtection="0"/>
    <xf numFmtId="0" fontId="51" fillId="7" borderId="42" applyNumberFormat="0" applyAlignment="0" applyProtection="0"/>
    <xf numFmtId="0" fontId="51" fillId="7" borderId="42" applyNumberFormat="0" applyAlignment="0" applyProtection="0"/>
    <xf numFmtId="0" fontId="51" fillId="7" borderId="42" applyNumberFormat="0" applyAlignment="0" applyProtection="0"/>
    <xf numFmtId="0" fontId="51" fillId="7" borderId="42" applyNumberFormat="0" applyAlignment="0" applyProtection="0"/>
    <xf numFmtId="0" fontId="51" fillId="7" borderId="42" applyNumberFormat="0" applyAlignment="0" applyProtection="0"/>
    <xf numFmtId="0" fontId="51" fillId="7" borderId="42" applyNumberFormat="0" applyAlignment="0" applyProtection="0"/>
    <xf numFmtId="0" fontId="51" fillId="7" borderId="42" applyNumberFormat="0" applyAlignment="0" applyProtection="0"/>
    <xf numFmtId="0" fontId="51" fillId="7" borderId="42" applyNumberFormat="0" applyAlignment="0" applyProtection="0"/>
    <xf numFmtId="0" fontId="51" fillId="7" borderId="42" applyNumberFormat="0" applyAlignment="0" applyProtection="0"/>
    <xf numFmtId="0" fontId="51" fillId="7" borderId="42" applyNumberFormat="0" applyAlignment="0" applyProtection="0"/>
    <xf numFmtId="0" fontId="51" fillId="7"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0" fontId="139" fillId="7" borderId="42" applyNumberFormat="0" applyAlignment="0" applyProtection="0"/>
    <xf numFmtId="0" fontId="139" fillId="7"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184" fontId="87" fillId="38" borderId="42" applyNumberFormat="0" applyAlignment="0" applyProtection="0"/>
    <xf numFmtId="184" fontId="87" fillId="38" borderId="42" applyNumberFormat="0" applyAlignment="0" applyProtection="0"/>
    <xf numFmtId="184" fontId="87" fillId="38" borderId="42" applyNumberFormat="0" applyAlignment="0" applyProtection="0"/>
    <xf numFmtId="184" fontId="87" fillId="38" borderId="42" applyNumberFormat="0" applyAlignment="0" applyProtection="0"/>
    <xf numFmtId="184" fontId="87" fillId="38" borderId="42" applyNumberFormat="0" applyAlignment="0" applyProtection="0"/>
    <xf numFmtId="0" fontId="139" fillId="7" borderId="42" applyNumberFormat="0" applyAlignment="0" applyProtection="0"/>
    <xf numFmtId="0" fontId="139" fillId="7" borderId="42" applyNumberFormat="0" applyAlignment="0" applyProtection="0"/>
    <xf numFmtId="0" fontId="139" fillId="7"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0" fontId="87" fillId="38" borderId="42" applyNumberFormat="0" applyAlignment="0" applyProtection="0"/>
    <xf numFmtId="184" fontId="87" fillId="38" borderId="42" applyNumberFormat="0" applyAlignment="0" applyProtection="0"/>
    <xf numFmtId="184" fontId="87" fillId="38" borderId="42" applyNumberFormat="0" applyAlignment="0" applyProtection="0"/>
    <xf numFmtId="184" fontId="88" fillId="0" borderId="14" applyNumberFormat="0" applyFill="0" applyAlignment="0" applyProtection="0"/>
    <xf numFmtId="184" fontId="88" fillId="38" borderId="0" applyNumberFormat="0" applyBorder="0" applyAlignment="0" applyProtection="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184" fontId="32" fillId="37" borderId="43" applyNumberFormat="0" applyFont="0" applyAlignment="0" applyProtection="0"/>
    <xf numFmtId="184" fontId="32" fillId="37" borderId="43" applyNumberFormat="0" applyFont="0" applyAlignment="0" applyProtection="0"/>
    <xf numFmtId="184" fontId="32" fillId="37" borderId="43" applyNumberFormat="0" applyFont="0" applyAlignment="0" applyProtection="0"/>
    <xf numFmtId="184" fontId="32" fillId="37" borderId="43" applyNumberFormat="0" applyFont="0" applyAlignment="0" applyProtection="0"/>
    <xf numFmtId="0" fontId="20" fillId="9" borderId="43" applyNumberFormat="0" applyFont="0" applyAlignment="0" applyProtection="0"/>
    <xf numFmtId="0" fontId="20" fillId="9"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69" fillId="9" borderId="43" applyNumberFormat="0" applyFont="0" applyAlignment="0" applyProtection="0"/>
    <xf numFmtId="0" fontId="69" fillId="9" borderId="43" applyNumberFormat="0" applyFont="0" applyAlignment="0" applyProtection="0"/>
    <xf numFmtId="0" fontId="69" fillId="9" borderId="43" applyNumberFormat="0" applyFont="0" applyAlignment="0" applyProtection="0"/>
    <xf numFmtId="0" fontId="69" fillId="9" borderId="43" applyNumberFormat="0" applyFont="0" applyAlignment="0" applyProtection="0"/>
    <xf numFmtId="0" fontId="69" fillId="9" borderId="43" applyNumberFormat="0" applyFont="0" applyAlignment="0" applyProtection="0"/>
    <xf numFmtId="0" fontId="20" fillId="9" borderId="43" applyNumberFormat="0" applyFont="0" applyAlignment="0" applyProtection="0"/>
    <xf numFmtId="0" fontId="20" fillId="9" borderId="43" applyNumberFormat="0" applyFont="0" applyAlignment="0" applyProtection="0"/>
    <xf numFmtId="0" fontId="20" fillId="9" borderId="43" applyNumberFormat="0" applyFont="0" applyAlignment="0" applyProtection="0"/>
    <xf numFmtId="0" fontId="20" fillId="9" borderId="43" applyNumberFormat="0" applyFont="0" applyAlignment="0" applyProtection="0"/>
    <xf numFmtId="0" fontId="20" fillId="9" borderId="43" applyNumberFormat="0" applyFont="0" applyAlignment="0" applyProtection="0"/>
    <xf numFmtId="0" fontId="33" fillId="9" borderId="43" applyNumberFormat="0" applyFont="0" applyAlignment="0" applyProtection="0"/>
    <xf numFmtId="0" fontId="33" fillId="9" borderId="43" applyNumberFormat="0" applyFont="0" applyAlignment="0" applyProtection="0"/>
    <xf numFmtId="0" fontId="33" fillId="9" borderId="43" applyNumberFormat="0" applyFont="0" applyAlignment="0" applyProtection="0"/>
    <xf numFmtId="0" fontId="33" fillId="9" borderId="43" applyNumberFormat="0" applyFont="0" applyAlignment="0" applyProtection="0"/>
    <xf numFmtId="0" fontId="33" fillId="9" borderId="43" applyNumberFormat="0" applyFont="0" applyAlignment="0" applyProtection="0"/>
    <xf numFmtId="0" fontId="20" fillId="9" borderId="43" applyNumberFormat="0" applyFont="0" applyAlignment="0" applyProtection="0"/>
    <xf numFmtId="0" fontId="20" fillId="9" borderId="43" applyNumberFormat="0" applyFont="0" applyAlignment="0" applyProtection="0"/>
    <xf numFmtId="0" fontId="20" fillId="9"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3" fillId="9" borderId="43" applyNumberFormat="0" applyFont="0" applyAlignment="0" applyProtection="0"/>
    <xf numFmtId="0" fontId="33" fillId="9" borderId="43" applyNumberFormat="0" applyFont="0" applyAlignment="0" applyProtection="0"/>
    <xf numFmtId="0" fontId="33" fillId="9" borderId="43" applyNumberFormat="0" applyFont="0" applyAlignment="0" applyProtection="0"/>
    <xf numFmtId="0" fontId="33" fillId="9" borderId="43" applyNumberFormat="0" applyFont="0" applyAlignment="0" applyProtection="0"/>
    <xf numFmtId="0" fontId="33" fillId="9" borderId="43" applyNumberFormat="0" applyFont="0" applyAlignment="0" applyProtection="0"/>
    <xf numFmtId="0" fontId="132" fillId="9" borderId="43" applyNumberFormat="0" applyFont="0" applyAlignment="0" applyProtection="0"/>
    <xf numFmtId="0" fontId="132" fillId="9"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184" fontId="32" fillId="37" borderId="43" applyNumberFormat="0" applyFont="0" applyAlignment="0" applyProtection="0"/>
    <xf numFmtId="184" fontId="32" fillId="37" borderId="43" applyNumberFormat="0" applyFont="0" applyAlignment="0" applyProtection="0"/>
    <xf numFmtId="184" fontId="32" fillId="37" borderId="43" applyNumberFormat="0" applyFont="0" applyAlignment="0" applyProtection="0"/>
    <xf numFmtId="184" fontId="32" fillId="37" borderId="43" applyNumberFormat="0" applyFont="0" applyAlignment="0" applyProtection="0"/>
    <xf numFmtId="184" fontId="32" fillId="37" borderId="43" applyNumberFormat="0" applyFont="0" applyAlignment="0" applyProtection="0"/>
    <xf numFmtId="0" fontId="132" fillId="9" borderId="43" applyNumberFormat="0" applyFont="0" applyAlignment="0" applyProtection="0"/>
    <xf numFmtId="0" fontId="132" fillId="9" borderId="43" applyNumberFormat="0" applyFont="0" applyAlignment="0" applyProtection="0"/>
    <xf numFmtId="0" fontId="132" fillId="9"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0" fontId="32" fillId="37" borderId="43" applyNumberFormat="0" applyFont="0" applyAlignment="0" applyProtection="0"/>
    <xf numFmtId="184" fontId="32" fillId="37" borderId="43" applyNumberFormat="0" applyFont="0" applyAlignment="0" applyProtection="0"/>
    <xf numFmtId="184" fontId="32" fillId="37" borderId="43" applyNumberFormat="0" applyFont="0" applyAlignment="0" applyProtection="0"/>
    <xf numFmtId="184" fontId="89" fillId="40" borderId="44" applyNumberFormat="0" applyAlignment="0" applyProtection="0"/>
    <xf numFmtId="184" fontId="89" fillId="40" borderId="44" applyNumberFormat="0" applyAlignment="0" applyProtection="0"/>
    <xf numFmtId="184" fontId="89" fillId="40" borderId="44" applyNumberFormat="0" applyAlignment="0" applyProtection="0"/>
    <xf numFmtId="184" fontId="89" fillId="40" borderId="44" applyNumberFormat="0" applyAlignment="0" applyProtection="0"/>
    <xf numFmtId="0" fontId="55" fillId="11" borderId="44" applyNumberFormat="0" applyAlignment="0" applyProtection="0"/>
    <xf numFmtId="0" fontId="55" fillId="11"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0" fontId="65" fillId="4" borderId="44" applyNumberFormat="0" applyAlignment="0" applyProtection="0"/>
    <xf numFmtId="0" fontId="65" fillId="4" borderId="44" applyNumberFormat="0" applyAlignment="0" applyProtection="0"/>
    <xf numFmtId="0" fontId="65" fillId="4" borderId="44" applyNumberFormat="0" applyAlignment="0" applyProtection="0"/>
    <xf numFmtId="0" fontId="65" fillId="4" borderId="44" applyNumberFormat="0" applyAlignment="0" applyProtection="0"/>
    <xf numFmtId="0" fontId="65" fillId="4" borderId="44" applyNumberFormat="0" applyAlignment="0" applyProtection="0"/>
    <xf numFmtId="0" fontId="55" fillId="11" borderId="44" applyNumberFormat="0" applyAlignment="0" applyProtection="0"/>
    <xf numFmtId="0" fontId="55" fillId="11" borderId="44" applyNumberFormat="0" applyAlignment="0" applyProtection="0"/>
    <xf numFmtId="0" fontId="55" fillId="11" borderId="44" applyNumberFormat="0" applyAlignment="0" applyProtection="0"/>
    <xf numFmtId="0" fontId="55" fillId="11" borderId="44" applyNumberFormat="0" applyAlignment="0" applyProtection="0"/>
    <xf numFmtId="0" fontId="55" fillId="11" borderId="44" applyNumberFormat="0" applyAlignment="0" applyProtection="0"/>
    <xf numFmtId="0" fontId="55" fillId="11" borderId="44" applyNumberFormat="0" applyAlignment="0" applyProtection="0"/>
    <xf numFmtId="0" fontId="55" fillId="11" borderId="44" applyNumberFormat="0" applyAlignment="0" applyProtection="0"/>
    <xf numFmtId="0" fontId="55" fillId="11" borderId="44" applyNumberFormat="0" applyAlignment="0" applyProtection="0"/>
    <xf numFmtId="0" fontId="55" fillId="11" borderId="44" applyNumberFormat="0" applyAlignment="0" applyProtection="0"/>
    <xf numFmtId="0" fontId="55" fillId="11" borderId="44" applyNumberFormat="0" applyAlignment="0" applyProtection="0"/>
    <xf numFmtId="0" fontId="55" fillId="11" borderId="44" applyNumberFormat="0" applyAlignment="0" applyProtection="0"/>
    <xf numFmtId="0" fontId="55" fillId="11" borderId="44" applyNumberFormat="0" applyAlignment="0" applyProtection="0"/>
    <xf numFmtId="0" fontId="55" fillId="11"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0" fontId="142" fillId="11" borderId="44" applyNumberFormat="0" applyAlignment="0" applyProtection="0"/>
    <xf numFmtId="0" fontId="142" fillId="11"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184" fontId="89" fillId="40" borderId="44" applyNumberFormat="0" applyAlignment="0" applyProtection="0"/>
    <xf numFmtId="184" fontId="89" fillId="40" borderId="44" applyNumberFormat="0" applyAlignment="0" applyProtection="0"/>
    <xf numFmtId="184" fontId="89" fillId="40" borderId="44" applyNumberFormat="0" applyAlignment="0" applyProtection="0"/>
    <xf numFmtId="184" fontId="89" fillId="40" borderId="44" applyNumberFormat="0" applyAlignment="0" applyProtection="0"/>
    <xf numFmtId="184" fontId="89" fillId="40" borderId="44" applyNumberFormat="0" applyAlignment="0" applyProtection="0"/>
    <xf numFmtId="0" fontId="142" fillId="11" borderId="44" applyNumberFormat="0" applyAlignment="0" applyProtection="0"/>
    <xf numFmtId="0" fontId="142" fillId="11" borderId="44" applyNumberFormat="0" applyAlignment="0" applyProtection="0"/>
    <xf numFmtId="0" fontId="142" fillId="11"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0" fontId="89" fillId="40" borderId="44" applyNumberFormat="0" applyAlignment="0" applyProtection="0"/>
    <xf numFmtId="184" fontId="89" fillId="40" borderId="44" applyNumberFormat="0" applyAlignment="0" applyProtection="0"/>
    <xf numFmtId="184" fontId="89" fillId="40" borderId="44" applyNumberFormat="0" applyAlignment="0" applyProtection="0"/>
    <xf numFmtId="9" fontId="20" fillId="0" borderId="0" applyFont="0" applyFill="0" applyBorder="0" applyAlignment="0" applyProtection="0"/>
    <xf numFmtId="184" fontId="78" fillId="0" borderId="0" applyNumberFormat="0" applyFill="0" applyBorder="0" applyAlignment="0" applyProtection="0"/>
    <xf numFmtId="184" fontId="31" fillId="0" borderId="46" applyNumberFormat="0" applyFill="0" applyAlignment="0" applyProtection="0"/>
    <xf numFmtId="184" fontId="31" fillId="0" borderId="46" applyNumberFormat="0" applyFill="0" applyAlignment="0" applyProtection="0"/>
    <xf numFmtId="184" fontId="31" fillId="0" borderId="46" applyNumberFormat="0" applyFill="0" applyAlignment="0" applyProtection="0"/>
    <xf numFmtId="184"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66" fillId="0" borderId="47" applyNumberFormat="0" applyFill="0" applyAlignment="0" applyProtection="0"/>
    <xf numFmtId="0" fontId="66" fillId="0" borderId="47" applyNumberFormat="0" applyFill="0" applyAlignment="0" applyProtection="0"/>
    <xf numFmtId="0" fontId="66" fillId="0" borderId="47" applyNumberFormat="0" applyFill="0" applyAlignment="0" applyProtection="0"/>
    <xf numFmtId="0" fontId="66" fillId="0" borderId="47" applyNumberFormat="0" applyFill="0" applyAlignment="0" applyProtection="0"/>
    <xf numFmtId="0" fontId="66" fillId="0" borderId="47" applyNumberFormat="0" applyFill="0" applyAlignment="0" applyProtection="0"/>
    <xf numFmtId="0" fontId="56" fillId="0" borderId="45" applyNumberFormat="0" applyFill="0" applyAlignment="0" applyProtection="0"/>
    <xf numFmtId="0" fontId="56" fillId="0" borderId="45" applyNumberFormat="0" applyFill="0" applyAlignment="0" applyProtection="0"/>
    <xf numFmtId="0" fontId="56" fillId="0" borderId="45" applyNumberFormat="0" applyFill="0" applyAlignment="0" applyProtection="0"/>
    <xf numFmtId="0" fontId="56" fillId="0" borderId="45" applyNumberFormat="0" applyFill="0" applyAlignment="0" applyProtection="0"/>
    <xf numFmtId="0" fontId="56" fillId="0" borderId="45" applyNumberFormat="0" applyFill="0" applyAlignment="0" applyProtection="0"/>
    <xf numFmtId="0" fontId="56" fillId="0" borderId="45" applyNumberFormat="0" applyFill="0" applyAlignment="0" applyProtection="0"/>
    <xf numFmtId="0" fontId="56" fillId="0" borderId="45" applyNumberFormat="0" applyFill="0" applyAlignment="0" applyProtection="0"/>
    <xf numFmtId="0" fontId="56" fillId="0" borderId="45" applyNumberFormat="0" applyFill="0" applyAlignment="0" applyProtection="0"/>
    <xf numFmtId="0" fontId="56" fillId="0" borderId="45" applyNumberFormat="0" applyFill="0" applyAlignment="0" applyProtection="0"/>
    <xf numFmtId="0" fontId="56" fillId="0" borderId="45" applyNumberFormat="0" applyFill="0" applyAlignment="0" applyProtection="0"/>
    <xf numFmtId="0" fontId="56" fillId="0" borderId="45"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56" fillId="0" borderId="45" applyNumberFormat="0" applyFill="0" applyAlignment="0" applyProtection="0"/>
    <xf numFmtId="0" fontId="56" fillId="0" borderId="45" applyNumberFormat="0" applyFill="0" applyAlignment="0" applyProtection="0"/>
    <xf numFmtId="0" fontId="56" fillId="0" borderId="45" applyNumberFormat="0" applyFill="0" applyAlignment="0" applyProtection="0"/>
    <xf numFmtId="0" fontId="56" fillId="0" borderId="45"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143" fillId="0" borderId="45" applyNumberFormat="0" applyFill="0" applyAlignment="0" applyProtection="0"/>
    <xf numFmtId="0" fontId="143" fillId="0" borderId="45" applyNumberFormat="0" applyFill="0" applyAlignment="0" applyProtection="0"/>
    <xf numFmtId="0" fontId="143" fillId="0" borderId="45"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184" fontId="31" fillId="0" borderId="46" applyNumberFormat="0" applyFill="0" applyAlignment="0" applyProtection="0"/>
    <xf numFmtId="184" fontId="31" fillId="0" borderId="46" applyNumberFormat="0" applyFill="0" applyAlignment="0" applyProtection="0"/>
    <xf numFmtId="184" fontId="31" fillId="0" borderId="46" applyNumberFormat="0" applyFill="0" applyAlignment="0" applyProtection="0"/>
    <xf numFmtId="184" fontId="31" fillId="0" borderId="46" applyNumberFormat="0" applyFill="0" applyAlignment="0" applyProtection="0"/>
    <xf numFmtId="184" fontId="31" fillId="0" borderId="46" applyNumberFormat="0" applyFill="0" applyAlignment="0" applyProtection="0"/>
    <xf numFmtId="0" fontId="143" fillId="0" borderId="45" applyNumberFormat="0" applyFill="0" applyAlignment="0" applyProtection="0"/>
    <xf numFmtId="0" fontId="143" fillId="0" borderId="45"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0" fontId="31" fillId="0" borderId="46" applyNumberFormat="0" applyFill="0" applyAlignment="0" applyProtection="0"/>
    <xf numFmtId="184" fontId="31" fillId="0" borderId="46" applyNumberFormat="0" applyFill="0" applyAlignment="0" applyProtection="0"/>
    <xf numFmtId="184" fontId="31" fillId="0" borderId="46" applyNumberFormat="0" applyFill="0" applyAlignment="0" applyProtection="0"/>
    <xf numFmtId="184" fontId="90" fillId="0" borderId="0" applyNumberFormat="0" applyFill="0" applyBorder="0" applyAlignment="0" applyProtection="0"/>
    <xf numFmtId="0" fontId="20"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98"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11" borderId="44" applyNumberFormat="0" applyAlignment="0" applyProtection="0"/>
    <xf numFmtId="0" fontId="56" fillId="0" borderId="45" applyNumberFormat="0" applyFill="0" applyAlignment="0" applyProtection="0"/>
    <xf numFmtId="0" fontId="98" fillId="0" borderId="0"/>
    <xf numFmtId="0" fontId="98"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3" fillId="0" borderId="0"/>
    <xf numFmtId="0" fontId="98"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0"/>
    <xf numFmtId="0" fontId="98" fillId="0" borderId="0"/>
    <xf numFmtId="0" fontId="20" fillId="0" borderId="0"/>
    <xf numFmtId="0" fontId="20" fillId="0" borderId="0"/>
    <xf numFmtId="184" fontId="20" fillId="0" borderId="0"/>
    <xf numFmtId="0" fontId="87" fillId="38" borderId="71" applyNumberFormat="0" applyAlignment="0" applyProtection="0"/>
    <xf numFmtId="0" fontId="64" fillId="14" borderId="71" applyNumberFormat="0" applyAlignment="0" applyProtection="0"/>
    <xf numFmtId="184" fontId="30" fillId="26" borderId="0" applyNumberFormat="0" applyBorder="0" applyAlignment="0" applyProtection="0"/>
    <xf numFmtId="184" fontId="30" fillId="30" borderId="0" applyNumberFormat="0" applyBorder="0" applyAlignment="0" applyProtection="0"/>
    <xf numFmtId="184" fontId="30" fillId="32" borderId="0" applyNumberFormat="0" applyBorder="0" applyAlignment="0" applyProtection="0"/>
    <xf numFmtId="184" fontId="30" fillId="34" borderId="0" applyNumberFormat="0" applyBorder="0" applyAlignment="0" applyProtection="0"/>
    <xf numFmtId="184" fontId="30" fillId="36" borderId="0" applyNumberFormat="0" applyBorder="0" applyAlignment="0" applyProtection="0"/>
    <xf numFmtId="184" fontId="30" fillId="39" borderId="0" applyNumberFormat="0" applyBorder="0" applyAlignment="0" applyProtection="0"/>
    <xf numFmtId="184" fontId="31" fillId="0" borderId="69" applyNumberFormat="0" applyFill="0" applyAlignment="0" applyProtection="0"/>
    <xf numFmtId="184" fontId="87" fillId="38" borderId="66" applyNumberFormat="0" applyAlignment="0" applyProtection="0"/>
    <xf numFmtId="184" fontId="30" fillId="32" borderId="0" applyNumberFormat="0" applyBorder="0" applyAlignment="0" applyProtection="0"/>
    <xf numFmtId="184" fontId="32" fillId="37" borderId="67" applyNumberFormat="0" applyFont="0" applyAlignment="0" applyProtection="0"/>
    <xf numFmtId="184" fontId="20"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7" borderId="0" applyNumberFormat="0" applyBorder="0" applyAlignment="0" applyProtection="0"/>
    <xf numFmtId="0" fontId="20" fillId="9" borderId="72" applyNumberFormat="0" applyFont="0" applyAlignment="0" applyProtection="0"/>
    <xf numFmtId="0" fontId="2" fillId="47"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47" borderId="0" applyNumberFormat="0" applyBorder="0" applyAlignment="0" applyProtection="0"/>
    <xf numFmtId="0" fontId="2" fillId="0" borderId="0"/>
    <xf numFmtId="43" fontId="2" fillId="0" borderId="0" applyFont="0" applyFill="0" applyBorder="0" applyAlignment="0" applyProtection="0"/>
    <xf numFmtId="0" fontId="2" fillId="0" borderId="0"/>
    <xf numFmtId="184" fontId="81" fillId="40" borderId="71" applyNumberFormat="0" applyAlignment="0" applyProtection="0"/>
    <xf numFmtId="0" fontId="87" fillId="38" borderId="71" applyNumberFormat="0" applyAlignment="0" applyProtection="0"/>
    <xf numFmtId="0" fontId="2" fillId="0" borderId="0"/>
    <xf numFmtId="184" fontId="87" fillId="38" borderId="71" applyNumberFormat="0" applyAlignment="0" applyProtection="0"/>
    <xf numFmtId="0" fontId="87" fillId="38" borderId="71" applyNumberFormat="0" applyAlignment="0" applyProtection="0"/>
    <xf numFmtId="0" fontId="81" fillId="40" borderId="71" applyNumberForma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7" borderId="7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30" fillId="30" borderId="0" applyNumberFormat="0" applyBorder="0" applyAlignment="0" applyProtection="0"/>
    <xf numFmtId="0" fontId="2" fillId="0" borderId="0"/>
    <xf numFmtId="0" fontId="40" fillId="11" borderId="48" applyNumberFormat="0" applyAlignment="0" applyProtection="0"/>
    <xf numFmtId="43" fontId="2" fillId="0" borderId="0" applyFont="0" applyFill="0" applyBorder="0" applyAlignment="0" applyProtection="0"/>
    <xf numFmtId="0" fontId="51" fillId="7" borderId="4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9" borderId="49" applyNumberFormat="0" applyFont="0" applyAlignment="0" applyProtection="0"/>
    <xf numFmtId="0" fontId="55" fillId="11" borderId="50" applyNumberFormat="0" applyAlignment="0" applyProtection="0"/>
    <xf numFmtId="0" fontId="56" fillId="0" borderId="51" applyNumberFormat="0" applyFill="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6" fillId="0" borderId="74" applyNumberFormat="0" applyFill="0" applyAlignment="0" applyProtection="0"/>
    <xf numFmtId="0" fontId="55" fillId="11" borderId="73" applyNumberForma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38" borderId="71" applyNumberFormat="0" applyAlignment="0" applyProtection="0"/>
    <xf numFmtId="0" fontId="87" fillId="38" borderId="7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51" applyNumberFormat="0" applyFill="0" applyAlignment="0" applyProtection="0"/>
    <xf numFmtId="0" fontId="142" fillId="11" borderId="50" applyNumberFormat="0" applyAlignment="0" applyProtection="0"/>
    <xf numFmtId="0" fontId="132" fillId="9" borderId="49" applyNumberFormat="0" applyFont="0" applyAlignment="0" applyProtection="0"/>
    <xf numFmtId="0" fontId="2" fillId="0" borderId="0"/>
    <xf numFmtId="0" fontId="139" fillId="7" borderId="48" applyNumberFormat="0" applyAlignment="0" applyProtection="0"/>
    <xf numFmtId="0" fontId="55" fillId="11" borderId="68" applyNumberFormat="0" applyAlignment="0" applyProtection="0"/>
    <xf numFmtId="0" fontId="135" fillId="11" borderId="48" applyNumberFormat="0" applyAlignment="0" applyProtection="0"/>
    <xf numFmtId="0" fontId="143" fillId="0" borderId="74" applyNumberFormat="0" applyFill="0" applyAlignment="0" applyProtection="0"/>
    <xf numFmtId="0" fontId="51" fillId="7" borderId="71" applyNumberFormat="0" applyAlignment="0" applyProtection="0"/>
    <xf numFmtId="0" fontId="40" fillId="11" borderId="71" applyNumberFormat="0" applyAlignment="0" applyProtection="0"/>
    <xf numFmtId="0" fontId="56" fillId="0" borderId="70" applyNumberFormat="0" applyFill="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40" fillId="11" borderId="71" applyNumberFormat="0" applyAlignment="0" applyProtection="0"/>
    <xf numFmtId="0" fontId="81" fillId="40" borderId="71" applyNumberFormat="0" applyAlignment="0" applyProtection="0"/>
    <xf numFmtId="0" fontId="73" fillId="4" borderId="71" applyNumberFormat="0" applyAlignment="0" applyProtection="0"/>
    <xf numFmtId="0" fontId="135" fillId="11" borderId="71" applyNumberFormat="0" applyAlignment="0" applyProtection="0"/>
    <xf numFmtId="0" fontId="139" fillId="7" borderId="71" applyNumberFormat="0" applyAlignment="0" applyProtection="0"/>
    <xf numFmtId="0" fontId="73" fillId="4" borderId="48" applyNumberFormat="0" applyAlignment="0" applyProtection="0"/>
    <xf numFmtId="0" fontId="81" fillId="40" borderId="48" applyNumberFormat="0" applyAlignment="0" applyProtection="0"/>
    <xf numFmtId="0" fontId="40" fillId="11" borderId="48" applyNumberFormat="0" applyAlignment="0" applyProtection="0"/>
    <xf numFmtId="0" fontId="81" fillId="40" borderId="48" applyNumberFormat="0" applyAlignment="0" applyProtection="0"/>
    <xf numFmtId="184" fontId="81" fillId="40" borderId="48" applyNumberFormat="0" applyAlignment="0" applyProtection="0"/>
    <xf numFmtId="0" fontId="81" fillId="40" borderId="48" applyNumberFormat="0" applyAlignment="0" applyProtection="0"/>
    <xf numFmtId="0" fontId="81" fillId="40" borderId="48" applyNumberFormat="0" applyAlignment="0" applyProtection="0"/>
    <xf numFmtId="0" fontId="81" fillId="40" borderId="48" applyNumberFormat="0" applyAlignment="0" applyProtection="0"/>
    <xf numFmtId="0" fontId="81" fillId="40" borderId="48"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4" fillId="14" borderId="48" applyNumberFormat="0" applyAlignment="0" applyProtection="0"/>
    <xf numFmtId="0" fontId="87" fillId="38" borderId="48" applyNumberFormat="0" applyAlignment="0" applyProtection="0"/>
    <xf numFmtId="0" fontId="51" fillId="7" borderId="48" applyNumberFormat="0" applyAlignment="0" applyProtection="0"/>
    <xf numFmtId="0" fontId="87" fillId="38" borderId="48" applyNumberFormat="0" applyAlignment="0" applyProtection="0"/>
    <xf numFmtId="184" fontId="87" fillId="38" borderId="48" applyNumberFormat="0" applyAlignment="0" applyProtection="0"/>
    <xf numFmtId="0" fontId="87" fillId="38" borderId="48" applyNumberFormat="0" applyAlignment="0" applyProtection="0"/>
    <xf numFmtId="0" fontId="87" fillId="38" borderId="48" applyNumberFormat="0" applyAlignment="0" applyProtection="0"/>
    <xf numFmtId="0" fontId="87" fillId="38" borderId="48" applyNumberFormat="0" applyAlignment="0" applyProtection="0"/>
    <xf numFmtId="0" fontId="87" fillId="38" borderId="4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9" borderId="49" applyNumberFormat="0" applyFont="0" applyAlignment="0" applyProtection="0"/>
    <xf numFmtId="0" fontId="69" fillId="9" borderId="49" applyNumberFormat="0" applyFont="0" applyAlignment="0" applyProtection="0"/>
    <xf numFmtId="0" fontId="32" fillId="37" borderId="49" applyNumberFormat="0" applyFont="0" applyAlignment="0" applyProtection="0"/>
    <xf numFmtId="0" fontId="33" fillId="9" borderId="49" applyNumberFormat="0" applyFont="0" applyAlignment="0" applyProtection="0"/>
    <xf numFmtId="0" fontId="32" fillId="37" borderId="49" applyNumberFormat="0" applyFont="0" applyAlignment="0" applyProtection="0"/>
    <xf numFmtId="184" fontId="32" fillId="37" borderId="49" applyNumberFormat="0" applyFont="0" applyAlignment="0" applyProtection="0"/>
    <xf numFmtId="0" fontId="32" fillId="37" borderId="49" applyNumberFormat="0" applyFont="0" applyAlignment="0" applyProtection="0"/>
    <xf numFmtId="0" fontId="32" fillId="37" borderId="49" applyNumberFormat="0" applyFont="0" applyAlignment="0" applyProtection="0"/>
    <xf numFmtId="0" fontId="32" fillId="37" borderId="49" applyNumberFormat="0" applyFont="0" applyAlignment="0" applyProtection="0"/>
    <xf numFmtId="0" fontId="32" fillId="37" borderId="49" applyNumberFormat="0" applyFont="0" applyAlignment="0" applyProtection="0"/>
    <xf numFmtId="0" fontId="65" fillId="4" borderId="50" applyNumberFormat="0" applyAlignment="0" applyProtection="0"/>
    <xf numFmtId="0" fontId="89" fillId="40" borderId="50" applyNumberFormat="0" applyAlignment="0" applyProtection="0"/>
    <xf numFmtId="0" fontId="55" fillId="11" borderId="50" applyNumberFormat="0" applyAlignment="0" applyProtection="0"/>
    <xf numFmtId="0" fontId="89" fillId="40" borderId="50" applyNumberFormat="0" applyAlignment="0" applyProtection="0"/>
    <xf numFmtId="184"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9" fontId="2" fillId="0" borderId="0" applyFont="0" applyFill="0" applyBorder="0" applyAlignment="0" applyProtection="0"/>
    <xf numFmtId="9" fontId="2" fillId="0" borderId="0" applyFont="0" applyFill="0" applyBorder="0" applyAlignment="0" applyProtection="0"/>
    <xf numFmtId="184" fontId="81" fillId="40" borderId="66" applyNumberFormat="0" applyAlignment="0" applyProtection="0"/>
    <xf numFmtId="0" fontId="66" fillId="0" borderId="52" applyNumberFormat="0" applyFill="0" applyAlignment="0" applyProtection="0"/>
    <xf numFmtId="184" fontId="30" fillId="39" borderId="0" applyNumberFormat="0" applyBorder="0" applyAlignment="0" applyProtection="0"/>
    <xf numFmtId="0" fontId="31" fillId="0" borderId="53" applyNumberFormat="0" applyFill="0" applyAlignment="0" applyProtection="0"/>
    <xf numFmtId="0" fontId="56" fillId="0" borderId="51" applyNumberFormat="0" applyFill="0" applyAlignment="0" applyProtection="0"/>
    <xf numFmtId="0" fontId="31" fillId="0" borderId="53" applyNumberFormat="0" applyFill="0" applyAlignment="0" applyProtection="0"/>
    <xf numFmtId="0" fontId="31" fillId="0" borderId="53" applyNumberFormat="0" applyFill="0" applyAlignment="0" applyProtection="0"/>
    <xf numFmtId="184" fontId="31" fillId="0" borderId="53" applyNumberFormat="0" applyFill="0" applyAlignment="0" applyProtection="0"/>
    <xf numFmtId="0" fontId="31" fillId="0" borderId="53" applyNumberFormat="0" applyFill="0" applyAlignment="0" applyProtection="0"/>
    <xf numFmtId="184" fontId="30" fillId="36" borderId="0" applyNumberFormat="0" applyBorder="0" applyAlignment="0" applyProtection="0"/>
    <xf numFmtId="0" fontId="31" fillId="0" borderId="53" applyNumberFormat="0" applyFill="0" applyAlignment="0" applyProtection="0"/>
    <xf numFmtId="0" fontId="31" fillId="0" borderId="53" applyNumberFormat="0" applyFill="0" applyAlignment="0" applyProtection="0"/>
    <xf numFmtId="184" fontId="30" fillId="34" borderId="0" applyNumberFormat="0" applyBorder="0" applyAlignment="0" applyProtection="0"/>
    <xf numFmtId="184" fontId="30" fillId="2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5" fillId="11" borderId="56" applyNumberFormat="0" applyAlignment="0" applyProtection="0"/>
    <xf numFmtId="0" fontId="31" fillId="0" borderId="59" applyNumberFormat="0" applyFill="0" applyAlignment="0" applyProtection="0"/>
    <xf numFmtId="0" fontId="132" fillId="9" borderId="55" applyNumberFormat="0" applyFont="0" applyAlignment="0" applyProtection="0"/>
    <xf numFmtId="0" fontId="142" fillId="11" borderId="56" applyNumberFormat="0" applyAlignment="0" applyProtection="0"/>
    <xf numFmtId="0" fontId="40" fillId="11" borderId="54" applyNumberFormat="0" applyAlignment="0" applyProtection="0"/>
    <xf numFmtId="184" fontId="32" fillId="37" borderId="55" applyNumberFormat="0" applyFont="0" applyAlignment="0" applyProtection="0"/>
    <xf numFmtId="184" fontId="87" fillId="38" borderId="54" applyNumberFormat="0" applyAlignment="0" applyProtection="0"/>
    <xf numFmtId="0" fontId="32" fillId="37" borderId="55" applyNumberFormat="0" applyFont="0" applyAlignment="0" applyProtection="0"/>
    <xf numFmtId="0" fontId="64" fillId="14" borderId="54" applyNumberFormat="0" applyAlignment="0" applyProtection="0"/>
    <xf numFmtId="0" fontId="32" fillId="37" borderId="55"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7" borderId="0" applyNumberFormat="0" applyBorder="0" applyAlignment="0" applyProtection="0"/>
    <xf numFmtId="0" fontId="2" fillId="47"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47" borderId="0" applyNumberFormat="0" applyBorder="0" applyAlignment="0" applyProtection="0"/>
    <xf numFmtId="184" fontId="81" fillId="40" borderId="54" applyNumberFormat="0" applyAlignment="0" applyProtection="0"/>
    <xf numFmtId="0" fontId="2" fillId="0" borderId="0"/>
    <xf numFmtId="43" fontId="2" fillId="0" borderId="0" applyFont="0" applyFill="0" applyBorder="0" applyAlignment="0" applyProtection="0"/>
    <xf numFmtId="0" fontId="2" fillId="0" borderId="0"/>
    <xf numFmtId="0" fontId="31" fillId="0" borderId="59" applyNumberFormat="0" applyFill="0" applyAlignment="0" applyProtection="0"/>
    <xf numFmtId="0" fontId="33" fillId="9" borderId="55" applyNumberFormat="0" applyFont="0" applyAlignment="0" applyProtection="0"/>
    <xf numFmtId="0" fontId="89" fillId="40" borderId="56" applyNumberFormat="0" applyAlignment="0" applyProtection="0"/>
    <xf numFmtId="0" fontId="2" fillId="0" borderId="0"/>
    <xf numFmtId="0" fontId="32" fillId="37" borderId="55" applyNumberFormat="0" applyFont="0" applyAlignment="0" applyProtection="0"/>
    <xf numFmtId="0" fontId="89" fillId="40" borderId="56" applyNumberFormat="0" applyAlignment="0" applyProtection="0"/>
    <xf numFmtId="184" fontId="89" fillId="40" borderId="56" applyNumberFormat="0" applyAlignment="0" applyProtection="0"/>
    <xf numFmtId="0" fontId="31" fillId="0" borderId="59" applyNumberFormat="0" applyFill="0" applyAlignment="0" applyProtection="0"/>
    <xf numFmtId="0" fontId="66" fillId="0" borderId="58" applyNumberFormat="0" applyFill="0" applyAlignment="0" applyProtection="0"/>
    <xf numFmtId="0" fontId="40" fillId="11" borderId="48" applyNumberFormat="0" applyAlignment="0" applyProtection="0"/>
    <xf numFmtId="43" fontId="2" fillId="0" borderId="0" applyFont="0" applyFill="0" applyBorder="0" applyAlignment="0" applyProtection="0"/>
    <xf numFmtId="0" fontId="139" fillId="7" borderId="54" applyNumberFormat="0" applyAlignment="0" applyProtection="0"/>
    <xf numFmtId="0" fontId="56" fillId="0" borderId="57" applyNumberFormat="0" applyFill="0" applyAlignment="0" applyProtection="0"/>
    <xf numFmtId="0" fontId="51" fillId="7" borderId="4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38" borderId="54"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9" borderId="49" applyNumberFormat="0" applyFont="0" applyAlignment="0" applyProtection="0"/>
    <xf numFmtId="0" fontId="55" fillId="11" borderId="50" applyNumberFormat="0" applyAlignment="0" applyProtection="0"/>
    <xf numFmtId="0" fontId="2" fillId="0" borderId="0"/>
    <xf numFmtId="0" fontId="40" fillId="11" borderId="54" applyNumberFormat="0" applyAlignment="0" applyProtection="0"/>
    <xf numFmtId="43" fontId="2" fillId="0" borderId="0" applyFont="0" applyFill="0" applyBorder="0" applyAlignment="0" applyProtection="0"/>
    <xf numFmtId="0" fontId="51" fillId="7" borderId="54"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9" borderId="55" applyNumberFormat="0" applyFont="0" applyAlignment="0" applyProtection="0"/>
    <xf numFmtId="0" fontId="55" fillId="11" borderId="56" applyNumberFormat="0" applyAlignment="0" applyProtection="0"/>
    <xf numFmtId="0" fontId="56" fillId="0" borderId="57" applyNumberFormat="0" applyFill="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11" borderId="54" applyNumberForma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65" fillId="4" borderId="56" applyNumberFormat="0" applyAlignment="0" applyProtection="0"/>
    <xf numFmtId="0" fontId="89" fillId="40" borderId="5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59" applyNumberFormat="0" applyFill="0" applyAlignment="0" applyProtection="0"/>
    <xf numFmtId="184" fontId="31" fillId="0" borderId="5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32" fillId="37" borderId="55" applyNumberFormat="0" applyFont="0" applyAlignment="0" applyProtection="0"/>
    <xf numFmtId="0" fontId="89" fillId="40" borderId="56" applyNumberFormat="0" applyAlignment="0" applyProtection="0"/>
    <xf numFmtId="0" fontId="89" fillId="40" borderId="56" applyNumberFormat="0" applyAlignment="0" applyProtection="0"/>
    <xf numFmtId="0" fontId="143" fillId="0" borderId="57" applyNumberFormat="0" applyFill="0" applyAlignment="0" applyProtection="0"/>
    <xf numFmtId="0" fontId="142" fillId="11" borderId="56" applyNumberFormat="0" applyAlignment="0" applyProtection="0"/>
    <xf numFmtId="0" fontId="132" fillId="9" borderId="55" applyNumberFormat="0" applyFont="0" applyAlignment="0" applyProtection="0"/>
    <xf numFmtId="0" fontId="2" fillId="0" borderId="0"/>
    <xf numFmtId="0" fontId="139" fillId="7" borderId="54" applyNumberFormat="0" applyAlignment="0" applyProtection="0"/>
    <xf numFmtId="0" fontId="20" fillId="9" borderId="67" applyNumberFormat="0" applyFont="0" applyAlignment="0" applyProtection="0"/>
    <xf numFmtId="0" fontId="135" fillId="11" borderId="54" applyNumberFormat="0" applyAlignment="0" applyProtection="0"/>
    <xf numFmtId="0" fontId="56" fillId="0" borderId="57" applyNumberFormat="0" applyFill="0" applyAlignment="0" applyProtection="0"/>
    <xf numFmtId="0" fontId="89" fillId="40" borderId="56" applyNumberFormat="0" applyAlignment="0" applyProtection="0"/>
    <xf numFmtId="0" fontId="135" fillId="11" borderId="54" applyNumberFormat="0" applyAlignment="0" applyProtection="0"/>
    <xf numFmtId="0" fontId="139" fillId="7" borderId="54" applyNumberFormat="0" applyAlignment="0" applyProtection="0"/>
    <xf numFmtId="0" fontId="81" fillId="40" borderId="54" applyNumberFormat="0" applyAlignment="0" applyProtection="0"/>
    <xf numFmtId="0" fontId="143" fillId="0" borderId="57" applyNumberFormat="0" applyFill="0" applyAlignment="0" applyProtection="0"/>
    <xf numFmtId="0" fontId="55" fillId="11" borderId="56" applyNumberFormat="0" applyAlignment="0" applyProtection="0"/>
    <xf numFmtId="0" fontId="20" fillId="9" borderId="55" applyNumberFormat="0" applyFont="0" applyAlignment="0" applyProtection="0"/>
    <xf numFmtId="0" fontId="73" fillId="4" borderId="54" applyNumberFormat="0" applyAlignment="0" applyProtection="0"/>
    <xf numFmtId="0" fontId="81" fillId="40" borderId="54" applyNumberFormat="0" applyAlignment="0" applyProtection="0"/>
    <xf numFmtId="0" fontId="40" fillId="11" borderId="54" applyNumberFormat="0" applyAlignment="0" applyProtection="0"/>
    <xf numFmtId="0" fontId="81" fillId="40" borderId="54" applyNumberFormat="0" applyAlignment="0" applyProtection="0"/>
    <xf numFmtId="184" fontId="81" fillId="40" borderId="54" applyNumberFormat="0" applyAlignment="0" applyProtection="0"/>
    <xf numFmtId="0" fontId="81" fillId="40" borderId="54" applyNumberFormat="0" applyAlignment="0" applyProtection="0"/>
    <xf numFmtId="0" fontId="81" fillId="40" borderId="54" applyNumberFormat="0" applyAlignment="0" applyProtection="0"/>
    <xf numFmtId="0" fontId="81" fillId="40" borderId="54" applyNumberFormat="0" applyAlignment="0" applyProtection="0"/>
    <xf numFmtId="0" fontId="81" fillId="40" borderId="54" applyNumberFormat="0" applyAlignment="0" applyProtection="0"/>
    <xf numFmtId="0" fontId="143" fillId="0" borderId="57"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5" fillId="11" borderId="56" applyNumberFormat="0" applyAlignment="0" applyProtection="0"/>
    <xf numFmtId="0" fontId="20" fillId="9" borderId="55" applyNumberFormat="0" applyFont="0" applyAlignment="0" applyProtection="0"/>
    <xf numFmtId="0" fontId="55" fillId="11" borderId="56" applyNumberFormat="0" applyAlignment="0" applyProtection="0"/>
    <xf numFmtId="0" fontId="64" fillId="14" borderId="54" applyNumberFormat="0" applyAlignment="0" applyProtection="0"/>
    <xf numFmtId="0" fontId="87" fillId="38" borderId="54" applyNumberFormat="0" applyAlignment="0" applyProtection="0"/>
    <xf numFmtId="0" fontId="51" fillId="7" borderId="54" applyNumberFormat="0" applyAlignment="0" applyProtection="0"/>
    <xf numFmtId="0" fontId="87" fillId="38" borderId="54" applyNumberFormat="0" applyAlignment="0" applyProtection="0"/>
    <xf numFmtId="184" fontId="87" fillId="38" borderId="54" applyNumberFormat="0" applyAlignment="0" applyProtection="0"/>
    <xf numFmtId="0" fontId="87" fillId="38" borderId="54" applyNumberFormat="0" applyAlignment="0" applyProtection="0"/>
    <xf numFmtId="0" fontId="87" fillId="38" borderId="54" applyNumberFormat="0" applyAlignment="0" applyProtection="0"/>
    <xf numFmtId="0" fontId="87" fillId="38" borderId="54" applyNumberFormat="0" applyAlignment="0" applyProtection="0"/>
    <xf numFmtId="0" fontId="87" fillId="38" borderId="54" applyNumberFormat="0" applyAlignment="0" applyProtection="0"/>
    <xf numFmtId="0" fontId="56" fillId="0" borderId="57" applyNumberFormat="0" applyFill="0" applyAlignment="0" applyProtection="0"/>
    <xf numFmtId="0" fontId="51" fillId="7" borderId="54" applyNumberFormat="0" applyAlignment="0" applyProtection="0"/>
    <xf numFmtId="0" fontId="40" fillId="11" borderId="54" applyNumberFormat="0" applyAlignment="0" applyProtection="0"/>
    <xf numFmtId="0" fontId="56" fillId="0" borderId="57" applyNumberFormat="0" applyFill="0" applyAlignment="0" applyProtection="0"/>
    <xf numFmtId="0" fontId="55" fillId="11" borderId="56" applyNumberFormat="0" applyAlignment="0" applyProtection="0"/>
    <xf numFmtId="0" fontId="20" fillId="9" borderId="5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7" borderId="54"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11" borderId="54" applyNumberFormat="0" applyAlignment="0" applyProtection="0"/>
    <xf numFmtId="0" fontId="2" fillId="0" borderId="0"/>
    <xf numFmtId="0" fontId="2" fillId="0" borderId="0"/>
    <xf numFmtId="0" fontId="2" fillId="0" borderId="0"/>
    <xf numFmtId="0" fontId="2" fillId="0" borderId="0"/>
    <xf numFmtId="0" fontId="2" fillId="0" borderId="0"/>
    <xf numFmtId="0" fontId="51" fillId="7" borderId="54" applyNumberFormat="0" applyAlignment="0" applyProtection="0"/>
    <xf numFmtId="184" fontId="31" fillId="0" borderId="59" applyNumberFormat="0" applyFill="0" applyAlignment="0" applyProtection="0"/>
    <xf numFmtId="0" fontId="33" fillId="9" borderId="55" applyNumberFormat="0" applyFont="0" applyAlignment="0" applyProtection="0"/>
    <xf numFmtId="0" fontId="69" fillId="9" borderId="55" applyNumberFormat="0" applyFont="0" applyAlignment="0" applyProtection="0"/>
    <xf numFmtId="0" fontId="32" fillId="37" borderId="55" applyNumberFormat="0" applyFont="0" applyAlignment="0" applyProtection="0"/>
    <xf numFmtId="184" fontId="89" fillId="40" borderId="56" applyNumberFormat="0" applyAlignment="0" applyProtection="0"/>
    <xf numFmtId="0" fontId="33" fillId="9" borderId="55" applyNumberFormat="0" applyFont="0" applyAlignment="0" applyProtection="0"/>
    <xf numFmtId="0" fontId="32" fillId="37" borderId="55" applyNumberFormat="0" applyFont="0" applyAlignment="0" applyProtection="0"/>
    <xf numFmtId="184" fontId="32" fillId="37" borderId="55" applyNumberFormat="0" applyFont="0" applyAlignment="0" applyProtection="0"/>
    <xf numFmtId="0" fontId="32" fillId="37" borderId="55" applyNumberFormat="0" applyFont="0" applyAlignment="0" applyProtection="0"/>
    <xf numFmtId="0" fontId="32" fillId="37" borderId="55" applyNumberFormat="0" applyFont="0" applyAlignment="0" applyProtection="0"/>
    <xf numFmtId="0" fontId="32" fillId="37" borderId="55" applyNumberFormat="0" applyFont="0" applyAlignment="0" applyProtection="0"/>
    <xf numFmtId="0" fontId="32" fillId="37" borderId="55" applyNumberFormat="0" applyFont="0" applyAlignment="0" applyProtection="0"/>
    <xf numFmtId="0" fontId="65" fillId="4" borderId="56" applyNumberFormat="0" applyAlignment="0" applyProtection="0"/>
    <xf numFmtId="0" fontId="89" fillId="40" borderId="56" applyNumberFormat="0" applyAlignment="0" applyProtection="0"/>
    <xf numFmtId="0" fontId="55" fillId="11" borderId="56" applyNumberFormat="0" applyAlignment="0" applyProtection="0"/>
    <xf numFmtId="0" fontId="89" fillId="40" borderId="56" applyNumberFormat="0" applyAlignment="0" applyProtection="0"/>
    <xf numFmtId="184" fontId="89" fillId="40" borderId="56" applyNumberFormat="0" applyAlignment="0" applyProtection="0"/>
    <xf numFmtId="0" fontId="89" fillId="40" borderId="56" applyNumberFormat="0" applyAlignment="0" applyProtection="0"/>
    <xf numFmtId="0" fontId="89" fillId="40" borderId="56" applyNumberFormat="0" applyAlignment="0" applyProtection="0"/>
    <xf numFmtId="0" fontId="89" fillId="40" borderId="56" applyNumberFormat="0" applyAlignment="0" applyProtection="0"/>
    <xf numFmtId="0" fontId="89" fillId="40" borderId="56"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87" fillId="38" borderId="54" applyNumberFormat="0" applyAlignment="0" applyProtection="0"/>
    <xf numFmtId="0" fontId="87" fillId="38" borderId="54" applyNumberFormat="0" applyAlignment="0" applyProtection="0"/>
    <xf numFmtId="0" fontId="66" fillId="0" borderId="58" applyNumberFormat="0" applyFill="0" applyAlignment="0" applyProtection="0"/>
    <xf numFmtId="0" fontId="31" fillId="0" borderId="59" applyNumberFormat="0" applyFill="0" applyAlignment="0" applyProtection="0"/>
    <xf numFmtId="0" fontId="56" fillId="0" borderId="57"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184" fontId="31" fillId="0" borderId="59" applyNumberFormat="0" applyFill="0" applyAlignment="0" applyProtection="0"/>
    <xf numFmtId="0" fontId="31" fillId="0" borderId="59" applyNumberFormat="0" applyFill="0" applyAlignment="0" applyProtection="0"/>
    <xf numFmtId="0" fontId="32" fillId="37" borderId="55" applyNumberFormat="0" applyFont="0" applyAlignment="0" applyProtection="0"/>
    <xf numFmtId="0" fontId="31" fillId="0" borderId="59" applyNumberFormat="0" applyFill="0" applyAlignment="0" applyProtection="0"/>
    <xf numFmtId="0" fontId="31" fillId="0" borderId="59" applyNumberFormat="0" applyFill="0" applyAlignment="0" applyProtection="0"/>
    <xf numFmtId="0" fontId="32" fillId="37" borderId="55"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11" borderId="54" applyNumberForma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9" fillId="9" borderId="55" applyNumberFormat="0" applyFont="0" applyAlignment="0" applyProtection="0"/>
    <xf numFmtId="0" fontId="33" fillId="9" borderId="55" applyNumberFormat="0" applyFont="0" applyAlignment="0" applyProtection="0"/>
    <xf numFmtId="0" fontId="32" fillId="37" borderId="55"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3" fillId="4" borderId="54" applyNumberFormat="0" applyAlignment="0" applyProtection="0"/>
    <xf numFmtId="0" fontId="81" fillId="40" borderId="54" applyNumberFormat="0" applyAlignment="0" applyProtection="0"/>
    <xf numFmtId="0" fontId="40" fillId="11" borderId="54" applyNumberFormat="0" applyAlignment="0" applyProtection="0"/>
    <xf numFmtId="0" fontId="81" fillId="40" borderId="54" applyNumberFormat="0" applyAlignment="0" applyProtection="0"/>
    <xf numFmtId="184" fontId="81" fillId="40" borderId="54" applyNumberFormat="0" applyAlignment="0" applyProtection="0"/>
    <xf numFmtId="0" fontId="81" fillId="40" borderId="54" applyNumberFormat="0" applyAlignment="0" applyProtection="0"/>
    <xf numFmtId="0" fontId="81" fillId="40" borderId="54" applyNumberFormat="0" applyAlignment="0" applyProtection="0"/>
    <xf numFmtId="0" fontId="81" fillId="40" borderId="54" applyNumberFormat="0" applyAlignment="0" applyProtection="0"/>
    <xf numFmtId="0" fontId="81" fillId="40" borderId="54" applyNumberFormat="0" applyAlignment="0" applyProtection="0"/>
    <xf numFmtId="0" fontId="87" fillId="38" borderId="54" applyNumberFormat="0" applyAlignment="0" applyProtection="0"/>
    <xf numFmtId="0" fontId="87" fillId="38" borderId="54" applyNumberFormat="0" applyAlignment="0" applyProtection="0"/>
    <xf numFmtId="184" fontId="87" fillId="38" borderId="54" applyNumberFormat="0" applyAlignment="0" applyProtection="0"/>
    <xf numFmtId="0" fontId="87" fillId="38" borderId="54" applyNumberFormat="0" applyAlignment="0" applyProtection="0"/>
    <xf numFmtId="0" fontId="64" fillId="14" borderId="54" applyNumberFormat="0" applyAlignment="0" applyProtection="0"/>
    <xf numFmtId="0" fontId="87" fillId="38" borderId="54" applyNumberFormat="0" applyAlignment="0" applyProtection="0"/>
    <xf numFmtId="0" fontId="51" fillId="7" borderId="54" applyNumberFormat="0" applyAlignment="0" applyProtection="0"/>
    <xf numFmtId="0" fontId="87" fillId="38" borderId="54" applyNumberFormat="0" applyAlignment="0" applyProtection="0"/>
    <xf numFmtId="184" fontId="87" fillId="38" borderId="54" applyNumberFormat="0" applyAlignment="0" applyProtection="0"/>
    <xf numFmtId="0" fontId="87" fillId="38" borderId="54" applyNumberFormat="0" applyAlignment="0" applyProtection="0"/>
    <xf numFmtId="0" fontId="87" fillId="38" borderId="54" applyNumberFormat="0" applyAlignment="0" applyProtection="0"/>
    <xf numFmtId="0" fontId="87" fillId="38" borderId="54" applyNumberFormat="0" applyAlignment="0" applyProtection="0"/>
    <xf numFmtId="0" fontId="87" fillId="38" borderId="54" applyNumberFormat="0" applyAlignment="0" applyProtection="0"/>
    <xf numFmtId="0" fontId="81" fillId="40" borderId="54" applyNumberFormat="0" applyAlignment="0" applyProtection="0"/>
    <xf numFmtId="0" fontId="81" fillId="40" borderId="54" applyNumberFormat="0" applyAlignment="0" applyProtection="0"/>
    <xf numFmtId="0" fontId="81" fillId="40" borderId="54" applyNumberFormat="0" applyAlignment="0" applyProtection="0"/>
    <xf numFmtId="0" fontId="81" fillId="40" borderId="54" applyNumberFormat="0" applyAlignment="0" applyProtection="0"/>
    <xf numFmtId="184" fontId="81" fillId="40" borderId="54" applyNumberFormat="0" applyAlignment="0" applyProtection="0"/>
    <xf numFmtId="0" fontId="40" fillId="11" borderId="54" applyNumberFormat="0" applyAlignment="0" applyProtection="0"/>
    <xf numFmtId="0" fontId="81" fillId="40" borderId="54" applyNumberFormat="0" applyAlignment="0" applyProtection="0"/>
    <xf numFmtId="0" fontId="73" fillId="4" borderId="54" applyNumberFormat="0" applyAlignment="0" applyProtection="0"/>
    <xf numFmtId="0" fontId="132" fillId="9" borderId="55" applyNumberFormat="0" applyFont="0" applyAlignment="0" applyProtection="0"/>
    <xf numFmtId="0" fontId="142" fillId="11" borderId="56" applyNumberFormat="0" applyAlignment="0" applyProtection="0"/>
    <xf numFmtId="0" fontId="31" fillId="0" borderId="59" applyNumberFormat="0" applyFill="0" applyAlignment="0" applyProtection="0"/>
    <xf numFmtId="0" fontId="20" fillId="9" borderId="55" applyNumberFormat="0" applyFont="0" applyAlignment="0" applyProtection="0"/>
    <xf numFmtId="0" fontId="51" fillId="7" borderId="54" applyNumberFormat="0" applyAlignment="0" applyProtection="0"/>
    <xf numFmtId="0" fontId="33" fillId="9" borderId="55" applyNumberFormat="0" applyFont="0" applyAlignment="0" applyProtection="0"/>
    <xf numFmtId="0" fontId="69" fillId="9" borderId="55" applyNumberFormat="0" applyFont="0" applyAlignment="0" applyProtection="0"/>
    <xf numFmtId="0" fontId="32" fillId="37" borderId="55" applyNumberFormat="0" applyFont="0" applyAlignment="0" applyProtection="0"/>
    <xf numFmtId="0" fontId="33" fillId="9" borderId="55" applyNumberFormat="0" applyFont="0" applyAlignment="0" applyProtection="0"/>
    <xf numFmtId="0" fontId="32" fillId="37" borderId="55" applyNumberFormat="0" applyFont="0" applyAlignment="0" applyProtection="0"/>
    <xf numFmtId="184" fontId="32" fillId="37" borderId="55" applyNumberFormat="0" applyFont="0" applyAlignment="0" applyProtection="0"/>
    <xf numFmtId="0" fontId="32" fillId="37" borderId="55" applyNumberFormat="0" applyFont="0" applyAlignment="0" applyProtection="0"/>
    <xf numFmtId="0" fontId="32" fillId="37" borderId="55" applyNumberFormat="0" applyFont="0" applyAlignment="0" applyProtection="0"/>
    <xf numFmtId="0" fontId="32" fillId="37" borderId="55" applyNumberFormat="0" applyFont="0" applyAlignment="0" applyProtection="0"/>
    <xf numFmtId="0" fontId="32" fillId="37" borderId="55" applyNumberFormat="0" applyFont="0" applyAlignment="0" applyProtection="0"/>
    <xf numFmtId="0" fontId="65" fillId="4" borderId="56" applyNumberFormat="0" applyAlignment="0" applyProtection="0"/>
    <xf numFmtId="0" fontId="89" fillId="40" borderId="56" applyNumberFormat="0" applyAlignment="0" applyProtection="0"/>
    <xf numFmtId="0" fontId="55" fillId="11" borderId="56" applyNumberFormat="0" applyAlignment="0" applyProtection="0"/>
    <xf numFmtId="0" fontId="89" fillId="40" borderId="56" applyNumberFormat="0" applyAlignment="0" applyProtection="0"/>
    <xf numFmtId="184" fontId="89" fillId="40" borderId="56" applyNumberFormat="0" applyAlignment="0" applyProtection="0"/>
    <xf numFmtId="0" fontId="89" fillId="40" borderId="56" applyNumberFormat="0" applyAlignment="0" applyProtection="0"/>
    <xf numFmtId="0" fontId="89" fillId="40" borderId="56" applyNumberFormat="0" applyAlignment="0" applyProtection="0"/>
    <xf numFmtId="0" fontId="89" fillId="40" borderId="56" applyNumberFormat="0" applyAlignment="0" applyProtection="0"/>
    <xf numFmtId="0" fontId="89" fillId="40" borderId="56" applyNumberFormat="0" applyAlignment="0" applyProtection="0"/>
    <xf numFmtId="0" fontId="31" fillId="0" borderId="59" applyNumberFormat="0" applyFill="0" applyAlignment="0" applyProtection="0"/>
    <xf numFmtId="0" fontId="66" fillId="0" borderId="58" applyNumberFormat="0" applyFill="0" applyAlignment="0" applyProtection="0"/>
    <xf numFmtId="0" fontId="31" fillId="0" borderId="59" applyNumberFormat="0" applyFill="0" applyAlignment="0" applyProtection="0"/>
    <xf numFmtId="0" fontId="56" fillId="0" borderId="57"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184"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51" fillId="7" borderId="54" applyNumberForma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11" borderId="60" applyNumberFormat="0" applyAlignment="0" applyProtection="0"/>
    <xf numFmtId="43" fontId="2" fillId="0" borderId="0" applyFont="0" applyFill="0" applyBorder="0" applyAlignment="0" applyProtection="0"/>
    <xf numFmtId="0" fontId="51" fillId="7" borderId="6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9" borderId="61" applyNumberFormat="0" applyFont="0" applyAlignment="0" applyProtection="0"/>
    <xf numFmtId="0" fontId="55" fillId="11" borderId="62" applyNumberFormat="0" applyAlignment="0" applyProtection="0"/>
    <xf numFmtId="0" fontId="56" fillId="0" borderId="63" applyNumberFormat="0" applyFill="0" applyAlignment="0" applyProtection="0"/>
    <xf numFmtId="0" fontId="2" fillId="0" borderId="0"/>
    <xf numFmtId="0" fontId="2" fillId="47"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7" borderId="66" applyNumberFormat="0" applyAlignment="0" applyProtection="0"/>
    <xf numFmtId="0" fontId="2" fillId="0" borderId="0"/>
    <xf numFmtId="0" fontId="2" fillId="47"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11" borderId="66" applyNumberForma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7" borderId="0" applyNumberFormat="0" applyBorder="0" applyAlignment="0" applyProtection="0"/>
    <xf numFmtId="43" fontId="2" fillId="0" borderId="0" applyFont="0" applyFill="0" applyBorder="0" applyAlignment="0" applyProtection="0"/>
    <xf numFmtId="0" fontId="2" fillId="0" borderId="0"/>
    <xf numFmtId="0" fontId="40" fillId="11" borderId="60" applyNumberFormat="0" applyAlignment="0" applyProtection="0"/>
    <xf numFmtId="43" fontId="2" fillId="0" borderId="0" applyFont="0" applyFill="0" applyBorder="0" applyAlignment="0" applyProtection="0"/>
    <xf numFmtId="0" fontId="51" fillId="7" borderId="6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9" borderId="61" applyNumberFormat="0" applyFont="0" applyAlignment="0" applyProtection="0"/>
    <xf numFmtId="0" fontId="55" fillId="11" borderId="50" applyNumberFormat="0" applyAlignment="0" applyProtection="0"/>
    <xf numFmtId="0" fontId="56" fillId="0" borderId="63" applyNumberFormat="0" applyFill="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38" borderId="71" applyNumberFormat="0" applyAlignment="0" applyProtection="0"/>
    <xf numFmtId="0" fontId="132" fillId="9" borderId="72" applyNumberFormat="0" applyFont="0" applyAlignment="0" applyProtection="0"/>
    <xf numFmtId="0" fontId="142" fillId="11" borderId="73" applyNumberFormat="0" applyAlignment="0" applyProtection="0"/>
    <xf numFmtId="184" fontId="81" fillId="40" borderId="60" applyNumberFormat="0" applyAlignment="0" applyProtection="0"/>
    <xf numFmtId="184" fontId="81" fillId="40" borderId="60" applyNumberFormat="0" applyAlignment="0" applyProtection="0"/>
    <xf numFmtId="184" fontId="81" fillId="40" borderId="60" applyNumberFormat="0" applyAlignment="0" applyProtection="0"/>
    <xf numFmtId="184" fontId="81" fillId="40" borderId="60" applyNumberFormat="0" applyAlignment="0" applyProtection="0"/>
    <xf numFmtId="0" fontId="40" fillId="11" borderId="60" applyNumberFormat="0" applyAlignment="0" applyProtection="0"/>
    <xf numFmtId="0" fontId="40" fillId="11"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0" fontId="73" fillId="4" borderId="60" applyNumberFormat="0" applyAlignment="0" applyProtection="0"/>
    <xf numFmtId="0" fontId="73" fillId="4" borderId="60" applyNumberFormat="0" applyAlignment="0" applyProtection="0"/>
    <xf numFmtId="0" fontId="73" fillId="4" borderId="60" applyNumberFormat="0" applyAlignment="0" applyProtection="0"/>
    <xf numFmtId="0" fontId="73" fillId="4" borderId="60" applyNumberFormat="0" applyAlignment="0" applyProtection="0"/>
    <xf numFmtId="0" fontId="73" fillId="4" borderId="60" applyNumberFormat="0" applyAlignment="0" applyProtection="0"/>
    <xf numFmtId="0" fontId="40" fillId="11" borderId="60" applyNumberFormat="0" applyAlignment="0" applyProtection="0"/>
    <xf numFmtId="0" fontId="40" fillId="11" borderId="60" applyNumberFormat="0" applyAlignment="0" applyProtection="0"/>
    <xf numFmtId="0" fontId="40" fillId="11" borderId="60" applyNumberFormat="0" applyAlignment="0" applyProtection="0"/>
    <xf numFmtId="0" fontId="40" fillId="11" borderId="60" applyNumberFormat="0" applyAlignment="0" applyProtection="0"/>
    <xf numFmtId="0" fontId="40" fillId="11" borderId="60" applyNumberFormat="0" applyAlignment="0" applyProtection="0"/>
    <xf numFmtId="0" fontId="40" fillId="11" borderId="60" applyNumberFormat="0" applyAlignment="0" applyProtection="0"/>
    <xf numFmtId="0" fontId="40" fillId="11" borderId="60" applyNumberFormat="0" applyAlignment="0" applyProtection="0"/>
    <xf numFmtId="0" fontId="40" fillId="11" borderId="60" applyNumberFormat="0" applyAlignment="0" applyProtection="0"/>
    <xf numFmtId="0" fontId="40" fillId="11" borderId="60" applyNumberFormat="0" applyAlignment="0" applyProtection="0"/>
    <xf numFmtId="0" fontId="40" fillId="11" borderId="60" applyNumberFormat="0" applyAlignment="0" applyProtection="0"/>
    <xf numFmtId="0" fontId="40" fillId="11" borderId="60" applyNumberFormat="0" applyAlignment="0" applyProtection="0"/>
    <xf numFmtId="0" fontId="40" fillId="11" borderId="60" applyNumberFormat="0" applyAlignment="0" applyProtection="0"/>
    <xf numFmtId="0" fontId="40" fillId="11"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0" fontId="135" fillId="11" borderId="60" applyNumberFormat="0" applyAlignment="0" applyProtection="0"/>
    <xf numFmtId="0" fontId="135" fillId="11"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184" fontId="81" fillId="40" borderId="60" applyNumberFormat="0" applyAlignment="0" applyProtection="0"/>
    <xf numFmtId="184" fontId="81" fillId="40" borderId="60" applyNumberFormat="0" applyAlignment="0" applyProtection="0"/>
    <xf numFmtId="184" fontId="81" fillId="40" borderId="60" applyNumberFormat="0" applyAlignment="0" applyProtection="0"/>
    <xf numFmtId="184" fontId="81" fillId="40" borderId="60" applyNumberFormat="0" applyAlignment="0" applyProtection="0"/>
    <xf numFmtId="184" fontId="81" fillId="40" borderId="60" applyNumberFormat="0" applyAlignment="0" applyProtection="0"/>
    <xf numFmtId="0" fontId="135" fillId="11" borderId="60" applyNumberFormat="0" applyAlignment="0" applyProtection="0"/>
    <xf numFmtId="0" fontId="135" fillId="11" borderId="60" applyNumberFormat="0" applyAlignment="0" applyProtection="0"/>
    <xf numFmtId="0" fontId="135" fillId="11"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0" fontId="81" fillId="40" borderId="60" applyNumberFormat="0" applyAlignment="0" applyProtection="0"/>
    <xf numFmtId="184" fontId="81" fillId="40" borderId="60" applyNumberFormat="0" applyAlignment="0" applyProtection="0"/>
    <xf numFmtId="184" fontId="81" fillId="40" borderId="60" applyNumberFormat="0" applyAlignment="0" applyProtection="0"/>
    <xf numFmtId="184" fontId="87" fillId="38" borderId="60" applyNumberFormat="0" applyAlignment="0" applyProtection="0"/>
    <xf numFmtId="184" fontId="87" fillId="38" borderId="60" applyNumberFormat="0" applyAlignment="0" applyProtection="0"/>
    <xf numFmtId="184" fontId="87" fillId="38" borderId="60" applyNumberFormat="0" applyAlignment="0" applyProtection="0"/>
    <xf numFmtId="184" fontId="87" fillId="38" borderId="60" applyNumberFormat="0" applyAlignment="0" applyProtection="0"/>
    <xf numFmtId="0" fontId="51" fillId="7" borderId="60" applyNumberFormat="0" applyAlignment="0" applyProtection="0"/>
    <xf numFmtId="0" fontId="51" fillId="7"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0" fontId="64" fillId="14" borderId="60" applyNumberFormat="0" applyAlignment="0" applyProtection="0"/>
    <xf numFmtId="0" fontId="64" fillId="14" borderId="60" applyNumberFormat="0" applyAlignment="0" applyProtection="0"/>
    <xf numFmtId="0" fontId="64" fillId="14" borderId="60" applyNumberFormat="0" applyAlignment="0" applyProtection="0"/>
    <xf numFmtId="0" fontId="64" fillId="14" borderId="60" applyNumberFormat="0" applyAlignment="0" applyProtection="0"/>
    <xf numFmtId="0" fontId="64" fillId="14" borderId="60" applyNumberFormat="0" applyAlignment="0" applyProtection="0"/>
    <xf numFmtId="0" fontId="51" fillId="7" borderId="60" applyNumberFormat="0" applyAlignment="0" applyProtection="0"/>
    <xf numFmtId="0" fontId="51" fillId="7" borderId="60" applyNumberFormat="0" applyAlignment="0" applyProtection="0"/>
    <xf numFmtId="0" fontId="51" fillId="7" borderId="60" applyNumberFormat="0" applyAlignment="0" applyProtection="0"/>
    <xf numFmtId="0" fontId="51" fillId="7" borderId="60" applyNumberFormat="0" applyAlignment="0" applyProtection="0"/>
    <xf numFmtId="0" fontId="51" fillId="7" borderId="60" applyNumberFormat="0" applyAlignment="0" applyProtection="0"/>
    <xf numFmtId="0" fontId="51" fillId="7" borderId="60" applyNumberFormat="0" applyAlignment="0" applyProtection="0"/>
    <xf numFmtId="0" fontId="51" fillId="7" borderId="60" applyNumberFormat="0" applyAlignment="0" applyProtection="0"/>
    <xf numFmtId="0" fontId="51" fillId="7" borderId="60" applyNumberFormat="0" applyAlignment="0" applyProtection="0"/>
    <xf numFmtId="0" fontId="51" fillId="7" borderId="60" applyNumberFormat="0" applyAlignment="0" applyProtection="0"/>
    <xf numFmtId="0" fontId="51" fillId="7" borderId="60" applyNumberFormat="0" applyAlignment="0" applyProtection="0"/>
    <xf numFmtId="0" fontId="51" fillId="7" borderId="60" applyNumberFormat="0" applyAlignment="0" applyProtection="0"/>
    <xf numFmtId="0" fontId="51" fillId="7" borderId="60" applyNumberFormat="0" applyAlignment="0" applyProtection="0"/>
    <xf numFmtId="0" fontId="51" fillId="7"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0" fontId="139" fillId="7" borderId="60" applyNumberFormat="0" applyAlignment="0" applyProtection="0"/>
    <xf numFmtId="0" fontId="139" fillId="7"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184" fontId="87" fillId="38" borderId="60" applyNumberFormat="0" applyAlignment="0" applyProtection="0"/>
    <xf numFmtId="184" fontId="87" fillId="38" borderId="60" applyNumberFormat="0" applyAlignment="0" applyProtection="0"/>
    <xf numFmtId="184" fontId="87" fillId="38" borderId="60" applyNumberFormat="0" applyAlignment="0" applyProtection="0"/>
    <xf numFmtId="184" fontId="87" fillId="38" borderId="60" applyNumberFormat="0" applyAlignment="0" applyProtection="0"/>
    <xf numFmtId="184" fontId="87" fillId="38" borderId="60" applyNumberFormat="0" applyAlignment="0" applyProtection="0"/>
    <xf numFmtId="0" fontId="139" fillId="7" borderId="60" applyNumberFormat="0" applyAlignment="0" applyProtection="0"/>
    <xf numFmtId="0" fontId="139" fillId="7" borderId="60" applyNumberFormat="0" applyAlignment="0" applyProtection="0"/>
    <xf numFmtId="0" fontId="139" fillId="7"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0" fontId="87" fillId="38" borderId="60" applyNumberFormat="0" applyAlignment="0" applyProtection="0"/>
    <xf numFmtId="184" fontId="87" fillId="38" borderId="60" applyNumberFormat="0" applyAlignment="0" applyProtection="0"/>
    <xf numFmtId="184" fontId="87" fillId="38" borderId="60" applyNumberFormat="0" applyAlignment="0" applyProtection="0"/>
    <xf numFmtId="184" fontId="32" fillId="37" borderId="61" applyNumberFormat="0" applyFont="0" applyAlignment="0" applyProtection="0"/>
    <xf numFmtId="184" fontId="32" fillId="37" borderId="61" applyNumberFormat="0" applyFont="0" applyAlignment="0" applyProtection="0"/>
    <xf numFmtId="184" fontId="32" fillId="37" borderId="61" applyNumberFormat="0" applyFont="0" applyAlignment="0" applyProtection="0"/>
    <xf numFmtId="184" fontId="32" fillId="37" borderId="61" applyNumberFormat="0" applyFont="0" applyAlignment="0" applyProtection="0"/>
    <xf numFmtId="0" fontId="20" fillId="9" borderId="61" applyNumberFormat="0" applyFont="0" applyAlignment="0" applyProtection="0"/>
    <xf numFmtId="0" fontId="20" fillId="9"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69" fillId="9" borderId="61" applyNumberFormat="0" applyFont="0" applyAlignment="0" applyProtection="0"/>
    <xf numFmtId="0" fontId="69" fillId="9" borderId="61" applyNumberFormat="0" applyFont="0" applyAlignment="0" applyProtection="0"/>
    <xf numFmtId="0" fontId="69" fillId="9" borderId="61" applyNumberFormat="0" applyFont="0" applyAlignment="0" applyProtection="0"/>
    <xf numFmtId="0" fontId="69" fillId="9" borderId="61" applyNumberFormat="0" applyFont="0" applyAlignment="0" applyProtection="0"/>
    <xf numFmtId="0" fontId="69" fillId="9" borderId="61" applyNumberFormat="0" applyFont="0" applyAlignment="0" applyProtection="0"/>
    <xf numFmtId="0" fontId="20" fillId="9" borderId="61" applyNumberFormat="0" applyFont="0" applyAlignment="0" applyProtection="0"/>
    <xf numFmtId="0" fontId="20" fillId="9" borderId="61" applyNumberFormat="0" applyFont="0" applyAlignment="0" applyProtection="0"/>
    <xf numFmtId="0" fontId="20" fillId="9" borderId="61" applyNumberFormat="0" applyFont="0" applyAlignment="0" applyProtection="0"/>
    <xf numFmtId="0" fontId="20" fillId="9" borderId="61" applyNumberFormat="0" applyFont="0" applyAlignment="0" applyProtection="0"/>
    <xf numFmtId="0" fontId="20" fillId="9" borderId="61" applyNumberFormat="0" applyFont="0" applyAlignment="0" applyProtection="0"/>
    <xf numFmtId="0" fontId="33" fillId="9" borderId="61" applyNumberFormat="0" applyFont="0" applyAlignment="0" applyProtection="0"/>
    <xf numFmtId="0" fontId="33" fillId="9" borderId="61" applyNumberFormat="0" applyFont="0" applyAlignment="0" applyProtection="0"/>
    <xf numFmtId="0" fontId="33" fillId="9" borderId="61" applyNumberFormat="0" applyFont="0" applyAlignment="0" applyProtection="0"/>
    <xf numFmtId="0" fontId="33" fillId="9" borderId="61" applyNumberFormat="0" applyFont="0" applyAlignment="0" applyProtection="0"/>
    <xf numFmtId="0" fontId="33" fillId="9" borderId="61" applyNumberFormat="0" applyFont="0" applyAlignment="0" applyProtection="0"/>
    <xf numFmtId="0" fontId="20" fillId="9" borderId="61" applyNumberFormat="0" applyFont="0" applyAlignment="0" applyProtection="0"/>
    <xf numFmtId="0" fontId="20" fillId="9" borderId="61" applyNumberFormat="0" applyFont="0" applyAlignment="0" applyProtection="0"/>
    <xf numFmtId="0" fontId="20" fillId="9"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3" fillId="9" borderId="61" applyNumberFormat="0" applyFont="0" applyAlignment="0" applyProtection="0"/>
    <xf numFmtId="0" fontId="33" fillId="9" borderId="61" applyNumberFormat="0" applyFont="0" applyAlignment="0" applyProtection="0"/>
    <xf numFmtId="0" fontId="33" fillId="9" borderId="61" applyNumberFormat="0" applyFont="0" applyAlignment="0" applyProtection="0"/>
    <xf numFmtId="0" fontId="33" fillId="9" borderId="61" applyNumberFormat="0" applyFont="0" applyAlignment="0" applyProtection="0"/>
    <xf numFmtId="0" fontId="33" fillId="9" borderId="61" applyNumberFormat="0" applyFont="0" applyAlignment="0" applyProtection="0"/>
    <xf numFmtId="0" fontId="132" fillId="9" borderId="61" applyNumberFormat="0" applyFont="0" applyAlignment="0" applyProtection="0"/>
    <xf numFmtId="0" fontId="132" fillId="9"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184" fontId="32" fillId="37" borderId="61" applyNumberFormat="0" applyFont="0" applyAlignment="0" applyProtection="0"/>
    <xf numFmtId="184" fontId="32" fillId="37" borderId="61" applyNumberFormat="0" applyFont="0" applyAlignment="0" applyProtection="0"/>
    <xf numFmtId="184" fontId="32" fillId="37" borderId="61" applyNumberFormat="0" applyFont="0" applyAlignment="0" applyProtection="0"/>
    <xf numFmtId="184" fontId="32" fillId="37" borderId="61" applyNumberFormat="0" applyFont="0" applyAlignment="0" applyProtection="0"/>
    <xf numFmtId="184" fontId="32" fillId="37" borderId="61" applyNumberFormat="0" applyFont="0" applyAlignment="0" applyProtection="0"/>
    <xf numFmtId="0" fontId="132" fillId="9" borderId="61" applyNumberFormat="0" applyFont="0" applyAlignment="0" applyProtection="0"/>
    <xf numFmtId="0" fontId="132" fillId="9" borderId="61" applyNumberFormat="0" applyFont="0" applyAlignment="0" applyProtection="0"/>
    <xf numFmtId="0" fontId="132" fillId="9"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0" fontId="32" fillId="37" borderId="61" applyNumberFormat="0" applyFont="0" applyAlignment="0" applyProtection="0"/>
    <xf numFmtId="184" fontId="32" fillId="37" borderId="61" applyNumberFormat="0" applyFont="0" applyAlignment="0" applyProtection="0"/>
    <xf numFmtId="184" fontId="32" fillId="37" borderId="61" applyNumberFormat="0" applyFont="0" applyAlignment="0" applyProtection="0"/>
    <xf numFmtId="184" fontId="89" fillId="40" borderId="50" applyNumberFormat="0" applyAlignment="0" applyProtection="0"/>
    <xf numFmtId="184" fontId="89" fillId="40" borderId="50" applyNumberFormat="0" applyAlignment="0" applyProtection="0"/>
    <xf numFmtId="184" fontId="89" fillId="40" borderId="50" applyNumberFormat="0" applyAlignment="0" applyProtection="0"/>
    <xf numFmtId="184" fontId="89" fillId="40" borderId="50" applyNumberFormat="0" applyAlignment="0" applyProtection="0"/>
    <xf numFmtId="0" fontId="55" fillId="11" borderId="50" applyNumberFormat="0" applyAlignment="0" applyProtection="0"/>
    <xf numFmtId="0" fontId="55" fillId="11"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65" fillId="4" borderId="50" applyNumberFormat="0" applyAlignment="0" applyProtection="0"/>
    <xf numFmtId="0" fontId="65" fillId="4" borderId="50" applyNumberFormat="0" applyAlignment="0" applyProtection="0"/>
    <xf numFmtId="0" fontId="65" fillId="4" borderId="50" applyNumberFormat="0" applyAlignment="0" applyProtection="0"/>
    <xf numFmtId="0" fontId="65" fillId="4" borderId="50" applyNumberFormat="0" applyAlignment="0" applyProtection="0"/>
    <xf numFmtId="0" fontId="65" fillId="4" borderId="50" applyNumberFormat="0" applyAlignment="0" applyProtection="0"/>
    <xf numFmtId="0" fontId="55" fillId="11" borderId="50" applyNumberFormat="0" applyAlignment="0" applyProtection="0"/>
    <xf numFmtId="0" fontId="55" fillId="11" borderId="50" applyNumberFormat="0" applyAlignment="0" applyProtection="0"/>
    <xf numFmtId="0" fontId="55" fillId="11" borderId="50" applyNumberFormat="0" applyAlignment="0" applyProtection="0"/>
    <xf numFmtId="0" fontId="55" fillId="11" borderId="50" applyNumberFormat="0" applyAlignment="0" applyProtection="0"/>
    <xf numFmtId="0" fontId="55" fillId="11" borderId="50" applyNumberFormat="0" applyAlignment="0" applyProtection="0"/>
    <xf numFmtId="0" fontId="55" fillId="11" borderId="50" applyNumberFormat="0" applyAlignment="0" applyProtection="0"/>
    <xf numFmtId="0" fontId="55" fillId="11" borderId="50" applyNumberFormat="0" applyAlignment="0" applyProtection="0"/>
    <xf numFmtId="0" fontId="55" fillId="11" borderId="50" applyNumberFormat="0" applyAlignment="0" applyProtection="0"/>
    <xf numFmtId="0" fontId="55" fillId="11" borderId="50" applyNumberFormat="0" applyAlignment="0" applyProtection="0"/>
    <xf numFmtId="0" fontId="55" fillId="11" borderId="50" applyNumberFormat="0" applyAlignment="0" applyProtection="0"/>
    <xf numFmtId="0" fontId="55" fillId="11" borderId="50" applyNumberFormat="0" applyAlignment="0" applyProtection="0"/>
    <xf numFmtId="0" fontId="55" fillId="11" borderId="50" applyNumberFormat="0" applyAlignment="0" applyProtection="0"/>
    <xf numFmtId="0" fontId="55" fillId="11"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142" fillId="11" borderId="50" applyNumberFormat="0" applyAlignment="0" applyProtection="0"/>
    <xf numFmtId="0" fontId="142" fillId="11"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184" fontId="89" fillId="40" borderId="50" applyNumberFormat="0" applyAlignment="0" applyProtection="0"/>
    <xf numFmtId="184" fontId="89" fillId="40" borderId="50" applyNumberFormat="0" applyAlignment="0" applyProtection="0"/>
    <xf numFmtId="184" fontId="89" fillId="40" borderId="50" applyNumberFormat="0" applyAlignment="0" applyProtection="0"/>
    <xf numFmtId="184" fontId="89" fillId="40" borderId="50" applyNumberFormat="0" applyAlignment="0" applyProtection="0"/>
    <xf numFmtId="184" fontId="89" fillId="40" borderId="50" applyNumberFormat="0" applyAlignment="0" applyProtection="0"/>
    <xf numFmtId="0" fontId="142" fillId="11" borderId="50" applyNumberFormat="0" applyAlignment="0" applyProtection="0"/>
    <xf numFmtId="0" fontId="142" fillId="11" borderId="50" applyNumberFormat="0" applyAlignment="0" applyProtection="0"/>
    <xf numFmtId="0" fontId="142" fillId="11"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0" fontId="89" fillId="40" borderId="50" applyNumberFormat="0" applyAlignment="0" applyProtection="0"/>
    <xf numFmtId="184" fontId="89" fillId="40" borderId="50" applyNumberFormat="0" applyAlignment="0" applyProtection="0"/>
    <xf numFmtId="184" fontId="89" fillId="40" borderId="50" applyNumberFormat="0" applyAlignment="0" applyProtection="0"/>
    <xf numFmtId="184" fontId="89" fillId="40" borderId="68" applyNumberFormat="0" applyAlignment="0" applyProtection="0"/>
    <xf numFmtId="184" fontId="31" fillId="0" borderId="64" applyNumberFormat="0" applyFill="0" applyAlignment="0" applyProtection="0"/>
    <xf numFmtId="184" fontId="31" fillId="0" borderId="64" applyNumberFormat="0" applyFill="0" applyAlignment="0" applyProtection="0"/>
    <xf numFmtId="184" fontId="31" fillId="0" borderId="64" applyNumberFormat="0" applyFill="0" applyAlignment="0" applyProtection="0"/>
    <xf numFmtId="184"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66" fillId="0" borderId="65" applyNumberFormat="0" applyFill="0" applyAlignment="0" applyProtection="0"/>
    <xf numFmtId="0" fontId="66" fillId="0" borderId="65" applyNumberFormat="0" applyFill="0" applyAlignment="0" applyProtection="0"/>
    <xf numFmtId="0" fontId="66" fillId="0" borderId="65" applyNumberFormat="0" applyFill="0" applyAlignment="0" applyProtection="0"/>
    <xf numFmtId="0" fontId="66" fillId="0" borderId="65" applyNumberFormat="0" applyFill="0" applyAlignment="0" applyProtection="0"/>
    <xf numFmtId="0" fontId="66" fillId="0" borderId="65" applyNumberFormat="0" applyFill="0" applyAlignment="0" applyProtection="0"/>
    <xf numFmtId="0" fontId="56" fillId="0" borderId="63" applyNumberFormat="0" applyFill="0" applyAlignment="0" applyProtection="0"/>
    <xf numFmtId="0" fontId="56" fillId="0" borderId="63" applyNumberFormat="0" applyFill="0" applyAlignment="0" applyProtection="0"/>
    <xf numFmtId="0" fontId="56" fillId="0" borderId="63" applyNumberFormat="0" applyFill="0" applyAlignment="0" applyProtection="0"/>
    <xf numFmtId="0" fontId="56" fillId="0" borderId="63" applyNumberFormat="0" applyFill="0" applyAlignment="0" applyProtection="0"/>
    <xf numFmtId="0" fontId="56" fillId="0" borderId="63" applyNumberFormat="0" applyFill="0" applyAlignment="0" applyProtection="0"/>
    <xf numFmtId="0" fontId="56" fillId="0" borderId="63" applyNumberFormat="0" applyFill="0" applyAlignment="0" applyProtection="0"/>
    <xf numFmtId="0" fontId="56" fillId="0" borderId="63" applyNumberFormat="0" applyFill="0" applyAlignment="0" applyProtection="0"/>
    <xf numFmtId="0" fontId="56" fillId="0" borderId="63" applyNumberFormat="0" applyFill="0" applyAlignment="0" applyProtection="0"/>
    <xf numFmtId="0" fontId="56" fillId="0" borderId="63" applyNumberFormat="0" applyFill="0" applyAlignment="0" applyProtection="0"/>
    <xf numFmtId="0" fontId="56" fillId="0" borderId="63" applyNumberFormat="0" applyFill="0" applyAlignment="0" applyProtection="0"/>
    <xf numFmtId="0" fontId="56" fillId="0" borderId="63"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56" fillId="0" borderId="63" applyNumberFormat="0" applyFill="0" applyAlignment="0" applyProtection="0"/>
    <xf numFmtId="0" fontId="56" fillId="0" borderId="63" applyNumberFormat="0" applyFill="0" applyAlignment="0" applyProtection="0"/>
    <xf numFmtId="0" fontId="56" fillId="0" borderId="63" applyNumberFormat="0" applyFill="0" applyAlignment="0" applyProtection="0"/>
    <xf numFmtId="0" fontId="56" fillId="0" borderId="63"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143" fillId="0" borderId="63" applyNumberFormat="0" applyFill="0" applyAlignment="0" applyProtection="0"/>
    <xf numFmtId="0" fontId="143" fillId="0" borderId="63" applyNumberFormat="0" applyFill="0" applyAlignment="0" applyProtection="0"/>
    <xf numFmtId="0" fontId="143" fillId="0" borderId="63"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184" fontId="31" fillId="0" borderId="64" applyNumberFormat="0" applyFill="0" applyAlignment="0" applyProtection="0"/>
    <xf numFmtId="184" fontId="31" fillId="0" borderId="64" applyNumberFormat="0" applyFill="0" applyAlignment="0" applyProtection="0"/>
    <xf numFmtId="184" fontId="31" fillId="0" borderId="64" applyNumberFormat="0" applyFill="0" applyAlignment="0" applyProtection="0"/>
    <xf numFmtId="184" fontId="31" fillId="0" borderId="64" applyNumberFormat="0" applyFill="0" applyAlignment="0" applyProtection="0"/>
    <xf numFmtId="184" fontId="31" fillId="0" borderId="64" applyNumberFormat="0" applyFill="0" applyAlignment="0" applyProtection="0"/>
    <xf numFmtId="0" fontId="143" fillId="0" borderId="63" applyNumberFormat="0" applyFill="0" applyAlignment="0" applyProtection="0"/>
    <xf numFmtId="0" fontId="143" fillId="0" borderId="63"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184" fontId="31" fillId="0" borderId="64" applyNumberFormat="0" applyFill="0" applyAlignment="0" applyProtection="0"/>
    <xf numFmtId="184" fontId="31" fillId="0" borderId="64" applyNumberFormat="0" applyFill="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5" fillId="11" borderId="50" applyNumberFormat="0" applyAlignment="0" applyProtection="0"/>
    <xf numFmtId="0" fontId="56" fillId="0" borderId="63" applyNumberFormat="0" applyFill="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8" fillId="0" borderId="0"/>
    <xf numFmtId="186" fontId="148" fillId="0" borderId="0" applyFont="0" applyFill="0" applyBorder="0" applyAlignment="0" applyProtection="0"/>
    <xf numFmtId="0" fontId="33" fillId="9" borderId="72" applyNumberFormat="0" applyFont="0" applyAlignment="0" applyProtection="0"/>
    <xf numFmtId="0" fontId="69" fillId="9" borderId="72" applyNumberFormat="0" applyFont="0" applyAlignment="0" applyProtection="0"/>
    <xf numFmtId="0" fontId="32" fillId="37" borderId="72" applyNumberFormat="0" applyFont="0" applyAlignment="0" applyProtection="0"/>
    <xf numFmtId="0" fontId="33" fillId="9" borderId="72" applyNumberFormat="0" applyFont="0" applyAlignment="0" applyProtection="0"/>
    <xf numFmtId="0" fontId="32" fillId="37" borderId="72" applyNumberFormat="0" applyFont="0" applyAlignment="0" applyProtection="0"/>
    <xf numFmtId="184"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65" fillId="4" borderId="73" applyNumberFormat="0" applyAlignment="0" applyProtection="0"/>
    <xf numFmtId="0" fontId="89" fillId="40" borderId="73" applyNumberFormat="0" applyAlignment="0" applyProtection="0"/>
    <xf numFmtId="0" fontId="55" fillId="11" borderId="73" applyNumberFormat="0" applyAlignment="0" applyProtection="0"/>
    <xf numFmtId="0" fontId="89" fillId="40" borderId="73" applyNumberFormat="0" applyAlignment="0" applyProtection="0"/>
    <xf numFmtId="184"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66" fillId="0" borderId="75" applyNumberFormat="0" applyFill="0" applyAlignment="0" applyProtection="0"/>
    <xf numFmtId="0" fontId="31" fillId="0" borderId="76" applyNumberFormat="0" applyFill="0" applyAlignment="0" applyProtection="0"/>
    <xf numFmtId="0" fontId="56" fillId="0" borderId="74"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184"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55" fillId="11" borderId="79" applyNumberFormat="0" applyAlignment="0" applyProtection="0"/>
    <xf numFmtId="0" fontId="31" fillId="0" borderId="82" applyNumberFormat="0" applyFill="0" applyAlignment="0" applyProtection="0"/>
    <xf numFmtId="0" fontId="132" fillId="9" borderId="78" applyNumberFormat="0" applyFont="0" applyAlignment="0" applyProtection="0"/>
    <xf numFmtId="0" fontId="142" fillId="11" borderId="79" applyNumberFormat="0" applyAlignment="0" applyProtection="0"/>
    <xf numFmtId="0" fontId="40" fillId="11" borderId="77" applyNumberFormat="0" applyAlignment="0" applyProtection="0"/>
    <xf numFmtId="184" fontId="32" fillId="37" borderId="78" applyNumberFormat="0" applyFont="0" applyAlignment="0" applyProtection="0"/>
    <xf numFmtId="184" fontId="87" fillId="38" borderId="77" applyNumberFormat="0" applyAlignment="0" applyProtection="0"/>
    <xf numFmtId="0" fontId="32" fillId="37" borderId="78" applyNumberFormat="0" applyFont="0" applyAlignment="0" applyProtection="0"/>
    <xf numFmtId="0" fontId="64" fillId="14" borderId="77" applyNumberFormat="0" applyAlignment="0" applyProtection="0"/>
    <xf numFmtId="0" fontId="32" fillId="37" borderId="78" applyNumberFormat="0" applyFont="0" applyAlignment="0" applyProtection="0"/>
    <xf numFmtId="184" fontId="81" fillId="40" borderId="77" applyNumberFormat="0" applyAlignment="0" applyProtection="0"/>
    <xf numFmtId="0" fontId="31" fillId="0" borderId="82" applyNumberFormat="0" applyFill="0" applyAlignment="0" applyProtection="0"/>
    <xf numFmtId="0" fontId="33" fillId="9" borderId="78" applyNumberFormat="0" applyFont="0" applyAlignment="0" applyProtection="0"/>
    <xf numFmtId="0" fontId="89" fillId="40" borderId="79" applyNumberFormat="0" applyAlignment="0" applyProtection="0"/>
    <xf numFmtId="0" fontId="32" fillId="37" borderId="78" applyNumberFormat="0" applyFont="0" applyAlignment="0" applyProtection="0"/>
    <xf numFmtId="0" fontId="89" fillId="40" borderId="79" applyNumberFormat="0" applyAlignment="0" applyProtection="0"/>
    <xf numFmtId="184" fontId="89" fillId="40" borderId="79" applyNumberFormat="0" applyAlignment="0" applyProtection="0"/>
    <xf numFmtId="0" fontId="31" fillId="0" borderId="82" applyNumberFormat="0" applyFill="0" applyAlignment="0" applyProtection="0"/>
    <xf numFmtId="0" fontId="66" fillId="0" borderId="81" applyNumberFormat="0" applyFill="0" applyAlignment="0" applyProtection="0"/>
    <xf numFmtId="0" fontId="40" fillId="11" borderId="71" applyNumberFormat="0" applyAlignment="0" applyProtection="0"/>
    <xf numFmtId="0" fontId="139" fillId="7" borderId="77" applyNumberFormat="0" applyAlignment="0" applyProtection="0"/>
    <xf numFmtId="0" fontId="56" fillId="0" borderId="80" applyNumberFormat="0" applyFill="0" applyAlignment="0" applyProtection="0"/>
    <xf numFmtId="0" fontId="51" fillId="7" borderId="71" applyNumberFormat="0" applyAlignment="0" applyProtection="0"/>
    <xf numFmtId="0" fontId="87" fillId="38" borderId="77" applyNumberFormat="0" applyAlignment="0" applyProtection="0"/>
    <xf numFmtId="0" fontId="20" fillId="9" borderId="72" applyNumberFormat="0" applyFont="0" applyAlignment="0" applyProtection="0"/>
    <xf numFmtId="0" fontId="55" fillId="11" borderId="73" applyNumberFormat="0" applyAlignment="0" applyProtection="0"/>
    <xf numFmtId="0" fontId="40" fillId="11" borderId="77" applyNumberFormat="0" applyAlignment="0" applyProtection="0"/>
    <xf numFmtId="0" fontId="51" fillId="7" borderId="77" applyNumberFormat="0" applyAlignment="0" applyProtection="0"/>
    <xf numFmtId="0" fontId="20" fillId="9" borderId="78" applyNumberFormat="0" applyFont="0" applyAlignment="0" applyProtection="0"/>
    <xf numFmtId="0" fontId="55" fillId="11" borderId="79" applyNumberFormat="0" applyAlignment="0" applyProtection="0"/>
    <xf numFmtId="0" fontId="56" fillId="0" borderId="80" applyNumberFormat="0" applyFill="0" applyAlignment="0" applyProtection="0"/>
    <xf numFmtId="0" fontId="40" fillId="11" borderId="77" applyNumberFormat="0" applyAlignment="0" applyProtection="0"/>
    <xf numFmtId="0" fontId="65" fillId="4" borderId="79" applyNumberFormat="0" applyAlignment="0" applyProtection="0"/>
    <xf numFmtId="0" fontId="89" fillId="40" borderId="79" applyNumberFormat="0" applyAlignment="0" applyProtection="0"/>
    <xf numFmtId="0" fontId="31" fillId="0" borderId="82" applyNumberFormat="0" applyFill="0" applyAlignment="0" applyProtection="0"/>
    <xf numFmtId="184" fontId="31" fillId="0" borderId="82" applyNumberFormat="0" applyFill="0" applyAlignment="0" applyProtection="0"/>
    <xf numFmtId="184" fontId="32" fillId="37" borderId="78" applyNumberFormat="0" applyFont="0" applyAlignment="0" applyProtection="0"/>
    <xf numFmtId="0" fontId="89" fillId="40" borderId="79" applyNumberFormat="0" applyAlignment="0" applyProtection="0"/>
    <xf numFmtId="0" fontId="89" fillId="40" borderId="79" applyNumberFormat="0" applyAlignment="0" applyProtection="0"/>
    <xf numFmtId="0" fontId="143" fillId="0" borderId="80" applyNumberFormat="0" applyFill="0" applyAlignment="0" applyProtection="0"/>
    <xf numFmtId="0" fontId="142" fillId="11" borderId="79" applyNumberFormat="0" applyAlignment="0" applyProtection="0"/>
    <xf numFmtId="0" fontId="132" fillId="9" borderId="78" applyNumberFormat="0" applyFont="0" applyAlignment="0" applyProtection="0"/>
    <xf numFmtId="0" fontId="139" fillId="7" borderId="77" applyNumberFormat="0" applyAlignment="0" applyProtection="0"/>
    <xf numFmtId="0" fontId="135" fillId="11" borderId="77" applyNumberFormat="0" applyAlignment="0" applyProtection="0"/>
    <xf numFmtId="0" fontId="56" fillId="0" borderId="80" applyNumberFormat="0" applyFill="0" applyAlignment="0" applyProtection="0"/>
    <xf numFmtId="0" fontId="89" fillId="40" borderId="79" applyNumberFormat="0" applyAlignment="0" applyProtection="0"/>
    <xf numFmtId="0" fontId="135" fillId="11" borderId="77" applyNumberFormat="0" applyAlignment="0" applyProtection="0"/>
    <xf numFmtId="0" fontId="139" fillId="7" borderId="77" applyNumberFormat="0" applyAlignment="0" applyProtection="0"/>
    <xf numFmtId="0" fontId="81" fillId="40" borderId="77" applyNumberFormat="0" applyAlignment="0" applyProtection="0"/>
    <xf numFmtId="0" fontId="143" fillId="0" borderId="80" applyNumberFormat="0" applyFill="0" applyAlignment="0" applyProtection="0"/>
    <xf numFmtId="0" fontId="55" fillId="11" borderId="79" applyNumberFormat="0" applyAlignment="0" applyProtection="0"/>
    <xf numFmtId="0" fontId="20" fillId="9" borderId="78" applyNumberFormat="0" applyFont="0" applyAlignment="0" applyProtection="0"/>
    <xf numFmtId="0" fontId="73" fillId="4" borderId="77" applyNumberFormat="0" applyAlignment="0" applyProtection="0"/>
    <xf numFmtId="0" fontId="81" fillId="40" borderId="77" applyNumberFormat="0" applyAlignment="0" applyProtection="0"/>
    <xf numFmtId="0" fontId="40" fillId="11" borderId="77" applyNumberFormat="0" applyAlignment="0" applyProtection="0"/>
    <xf numFmtId="0" fontId="81" fillId="40" borderId="77" applyNumberFormat="0" applyAlignment="0" applyProtection="0"/>
    <xf numFmtId="184" fontId="81" fillId="40" borderId="77" applyNumberFormat="0" applyAlignment="0" applyProtection="0"/>
    <xf numFmtId="0" fontId="81" fillId="40" borderId="77" applyNumberFormat="0" applyAlignment="0" applyProtection="0"/>
    <xf numFmtId="0" fontId="81" fillId="40" borderId="77" applyNumberFormat="0" applyAlignment="0" applyProtection="0"/>
    <xf numFmtId="0" fontId="81" fillId="40" borderId="77" applyNumberFormat="0" applyAlignment="0" applyProtection="0"/>
    <xf numFmtId="0" fontId="81" fillId="40" borderId="77" applyNumberFormat="0" applyAlignment="0" applyProtection="0"/>
    <xf numFmtId="0" fontId="143" fillId="0" borderId="80" applyNumberFormat="0" applyFill="0" applyAlignment="0" applyProtection="0"/>
    <xf numFmtId="0" fontId="55" fillId="11" borderId="79" applyNumberFormat="0" applyAlignment="0" applyProtection="0"/>
    <xf numFmtId="0" fontId="20" fillId="9" borderId="78" applyNumberFormat="0" applyFont="0" applyAlignment="0" applyProtection="0"/>
    <xf numFmtId="0" fontId="55" fillId="11" borderId="79" applyNumberFormat="0" applyAlignment="0" applyProtection="0"/>
    <xf numFmtId="0" fontId="64" fillId="14" borderId="77" applyNumberFormat="0" applyAlignment="0" applyProtection="0"/>
    <xf numFmtId="0" fontId="87" fillId="38" borderId="77" applyNumberFormat="0" applyAlignment="0" applyProtection="0"/>
    <xf numFmtId="0" fontId="51" fillId="7" borderId="77" applyNumberFormat="0" applyAlignment="0" applyProtection="0"/>
    <xf numFmtId="0" fontId="87" fillId="38" borderId="77" applyNumberFormat="0" applyAlignment="0" applyProtection="0"/>
    <xf numFmtId="184" fontId="87" fillId="38" borderId="77" applyNumberFormat="0" applyAlignment="0" applyProtection="0"/>
    <xf numFmtId="0" fontId="87" fillId="38" borderId="77" applyNumberFormat="0" applyAlignment="0" applyProtection="0"/>
    <xf numFmtId="0" fontId="87" fillId="38" borderId="77" applyNumberFormat="0" applyAlignment="0" applyProtection="0"/>
    <xf numFmtId="0" fontId="87" fillId="38" borderId="77" applyNumberFormat="0" applyAlignment="0" applyProtection="0"/>
    <xf numFmtId="0" fontId="87" fillId="38" borderId="77" applyNumberFormat="0" applyAlignment="0" applyProtection="0"/>
    <xf numFmtId="0" fontId="56" fillId="0" borderId="80" applyNumberFormat="0" applyFill="0" applyAlignment="0" applyProtection="0"/>
    <xf numFmtId="0" fontId="51" fillId="7" borderId="77" applyNumberFormat="0" applyAlignment="0" applyProtection="0"/>
    <xf numFmtId="0" fontId="40" fillId="11" borderId="77" applyNumberFormat="0" applyAlignment="0" applyProtection="0"/>
    <xf numFmtId="0" fontId="56" fillId="0" borderId="80" applyNumberFormat="0" applyFill="0" applyAlignment="0" applyProtection="0"/>
    <xf numFmtId="0" fontId="55" fillId="11" borderId="79" applyNumberFormat="0" applyAlignment="0" applyProtection="0"/>
    <xf numFmtId="0" fontId="20" fillId="9" borderId="78" applyNumberFormat="0" applyFont="0" applyAlignment="0" applyProtection="0"/>
    <xf numFmtId="0" fontId="51" fillId="7" borderId="77" applyNumberFormat="0" applyAlignment="0" applyProtection="0"/>
    <xf numFmtId="0" fontId="135" fillId="11" borderId="77" applyNumberFormat="0" applyAlignment="0" applyProtection="0"/>
    <xf numFmtId="0" fontId="51" fillId="7" borderId="77" applyNumberFormat="0" applyAlignment="0" applyProtection="0"/>
    <xf numFmtId="184" fontId="31" fillId="0" borderId="82" applyNumberFormat="0" applyFill="0" applyAlignment="0" applyProtection="0"/>
    <xf numFmtId="0" fontId="33" fillId="9" borderId="78" applyNumberFormat="0" applyFont="0" applyAlignment="0" applyProtection="0"/>
    <xf numFmtId="0" fontId="69" fillId="9" borderId="78" applyNumberFormat="0" applyFont="0" applyAlignment="0" applyProtection="0"/>
    <xf numFmtId="0" fontId="32" fillId="37" borderId="78" applyNumberFormat="0" applyFont="0" applyAlignment="0" applyProtection="0"/>
    <xf numFmtId="184" fontId="89" fillId="40" borderId="79" applyNumberFormat="0" applyAlignment="0" applyProtection="0"/>
    <xf numFmtId="0" fontId="33" fillId="9" borderId="78" applyNumberFormat="0" applyFont="0" applyAlignment="0" applyProtection="0"/>
    <xf numFmtId="0" fontId="32" fillId="37" borderId="78" applyNumberFormat="0" applyFont="0" applyAlignment="0" applyProtection="0"/>
    <xf numFmtId="184" fontId="32" fillId="37" borderId="78" applyNumberFormat="0" applyFont="0" applyAlignment="0" applyProtection="0"/>
    <xf numFmtId="0" fontId="32" fillId="37" borderId="78" applyNumberFormat="0" applyFont="0" applyAlignment="0" applyProtection="0"/>
    <xf numFmtId="0" fontId="32" fillId="37" borderId="78" applyNumberFormat="0" applyFont="0" applyAlignment="0" applyProtection="0"/>
    <xf numFmtId="0" fontId="32" fillId="37" borderId="78" applyNumberFormat="0" applyFont="0" applyAlignment="0" applyProtection="0"/>
    <xf numFmtId="0" fontId="32" fillId="37" borderId="78" applyNumberFormat="0" applyFont="0" applyAlignment="0" applyProtection="0"/>
    <xf numFmtId="0" fontId="65" fillId="4" borderId="79" applyNumberFormat="0" applyAlignment="0" applyProtection="0"/>
    <xf numFmtId="0" fontId="89" fillId="40" borderId="79" applyNumberFormat="0" applyAlignment="0" applyProtection="0"/>
    <xf numFmtId="0" fontId="55" fillId="11" borderId="79" applyNumberFormat="0" applyAlignment="0" applyProtection="0"/>
    <xf numFmtId="0" fontId="89" fillId="40" borderId="79" applyNumberFormat="0" applyAlignment="0" applyProtection="0"/>
    <xf numFmtId="184" fontId="89" fillId="40" borderId="79" applyNumberFormat="0" applyAlignment="0" applyProtection="0"/>
    <xf numFmtId="0" fontId="89" fillId="40" borderId="79" applyNumberFormat="0" applyAlignment="0" applyProtection="0"/>
    <xf numFmtId="0" fontId="89" fillId="40" borderId="79" applyNumberFormat="0" applyAlignment="0" applyProtection="0"/>
    <xf numFmtId="0" fontId="89" fillId="40" borderId="79" applyNumberFormat="0" applyAlignment="0" applyProtection="0"/>
    <xf numFmtId="0" fontId="89" fillId="40" borderId="79" applyNumberFormat="0" applyAlignment="0" applyProtection="0"/>
    <xf numFmtId="0" fontId="87" fillId="38" borderId="77" applyNumberFormat="0" applyAlignment="0" applyProtection="0"/>
    <xf numFmtId="0" fontId="87" fillId="38" borderId="77" applyNumberFormat="0" applyAlignment="0" applyProtection="0"/>
    <xf numFmtId="0" fontId="66" fillId="0" borderId="81" applyNumberFormat="0" applyFill="0" applyAlignment="0" applyProtection="0"/>
    <xf numFmtId="0" fontId="31" fillId="0" borderId="82" applyNumberFormat="0" applyFill="0" applyAlignment="0" applyProtection="0"/>
    <xf numFmtId="0" fontId="56" fillId="0" borderId="80" applyNumberFormat="0" applyFill="0" applyAlignment="0" applyProtection="0"/>
    <xf numFmtId="0" fontId="31" fillId="0" borderId="82" applyNumberFormat="0" applyFill="0" applyAlignment="0" applyProtection="0"/>
    <xf numFmtId="0" fontId="31" fillId="0" borderId="82" applyNumberFormat="0" applyFill="0" applyAlignment="0" applyProtection="0"/>
    <xf numFmtId="184" fontId="31" fillId="0" borderId="82" applyNumberFormat="0" applyFill="0" applyAlignment="0" applyProtection="0"/>
    <xf numFmtId="0" fontId="31" fillId="0" borderId="82" applyNumberFormat="0" applyFill="0" applyAlignment="0" applyProtection="0"/>
    <xf numFmtId="0" fontId="32" fillId="37" borderId="78" applyNumberFormat="0" applyFont="0" applyAlignment="0" applyProtection="0"/>
    <xf numFmtId="0" fontId="31" fillId="0" borderId="82" applyNumberFormat="0" applyFill="0" applyAlignment="0" applyProtection="0"/>
    <xf numFmtId="0" fontId="31" fillId="0" borderId="82" applyNumberFormat="0" applyFill="0" applyAlignment="0" applyProtection="0"/>
    <xf numFmtId="0" fontId="32" fillId="37" borderId="78" applyNumberFormat="0" applyFont="0" applyAlignment="0" applyProtection="0"/>
    <xf numFmtId="0" fontId="40" fillId="11" borderId="77" applyNumberFormat="0" applyAlignment="0" applyProtection="0"/>
    <xf numFmtId="0" fontId="69" fillId="9" borderId="78" applyNumberFormat="0" applyFont="0" applyAlignment="0" applyProtection="0"/>
    <xf numFmtId="0" fontId="33" fillId="9" borderId="78" applyNumberFormat="0" applyFont="0" applyAlignment="0" applyProtection="0"/>
    <xf numFmtId="0" fontId="32" fillId="37" borderId="78" applyNumberFormat="0" applyFont="0" applyAlignment="0" applyProtection="0"/>
    <xf numFmtId="0" fontId="73" fillId="4" borderId="77" applyNumberFormat="0" applyAlignment="0" applyProtection="0"/>
    <xf numFmtId="0" fontId="81" fillId="40" borderId="77" applyNumberFormat="0" applyAlignment="0" applyProtection="0"/>
    <xf numFmtId="0" fontId="40" fillId="11" borderId="77" applyNumberFormat="0" applyAlignment="0" applyProtection="0"/>
    <xf numFmtId="0" fontId="81" fillId="40" borderId="77" applyNumberFormat="0" applyAlignment="0" applyProtection="0"/>
    <xf numFmtId="184" fontId="81" fillId="40" borderId="77" applyNumberFormat="0" applyAlignment="0" applyProtection="0"/>
    <xf numFmtId="0" fontId="81" fillId="40" borderId="77" applyNumberFormat="0" applyAlignment="0" applyProtection="0"/>
    <xf numFmtId="0" fontId="81" fillId="40" borderId="77" applyNumberFormat="0" applyAlignment="0" applyProtection="0"/>
    <xf numFmtId="0" fontId="81" fillId="40" borderId="77" applyNumberFormat="0" applyAlignment="0" applyProtection="0"/>
    <xf numFmtId="0" fontId="81" fillId="40" borderId="77" applyNumberFormat="0" applyAlignment="0" applyProtection="0"/>
    <xf numFmtId="0" fontId="87" fillId="38" borderId="77" applyNumberFormat="0" applyAlignment="0" applyProtection="0"/>
    <xf numFmtId="0" fontId="87" fillId="38" borderId="77" applyNumberFormat="0" applyAlignment="0" applyProtection="0"/>
    <xf numFmtId="184" fontId="87" fillId="38" borderId="77" applyNumberFormat="0" applyAlignment="0" applyProtection="0"/>
    <xf numFmtId="0" fontId="87" fillId="38" borderId="77" applyNumberFormat="0" applyAlignment="0" applyProtection="0"/>
    <xf numFmtId="0" fontId="64" fillId="14" borderId="77" applyNumberFormat="0" applyAlignment="0" applyProtection="0"/>
    <xf numFmtId="0" fontId="87" fillId="38" borderId="77" applyNumberFormat="0" applyAlignment="0" applyProtection="0"/>
    <xf numFmtId="0" fontId="51" fillId="7" borderId="77" applyNumberFormat="0" applyAlignment="0" applyProtection="0"/>
    <xf numFmtId="0" fontId="87" fillId="38" borderId="77" applyNumberFormat="0" applyAlignment="0" applyProtection="0"/>
    <xf numFmtId="184" fontId="87" fillId="38" borderId="77" applyNumberFormat="0" applyAlignment="0" applyProtection="0"/>
    <xf numFmtId="0" fontId="87" fillId="38" borderId="77" applyNumberFormat="0" applyAlignment="0" applyProtection="0"/>
    <xf numFmtId="0" fontId="87" fillId="38" borderId="77" applyNumberFormat="0" applyAlignment="0" applyProtection="0"/>
    <xf numFmtId="0" fontId="87" fillId="38" borderId="77" applyNumberFormat="0" applyAlignment="0" applyProtection="0"/>
    <xf numFmtId="0" fontId="87" fillId="38" borderId="77" applyNumberFormat="0" applyAlignment="0" applyProtection="0"/>
    <xf numFmtId="0" fontId="81" fillId="40" borderId="77" applyNumberFormat="0" applyAlignment="0" applyProtection="0"/>
    <xf numFmtId="0" fontId="81" fillId="40" borderId="77" applyNumberFormat="0" applyAlignment="0" applyProtection="0"/>
    <xf numFmtId="0" fontId="81" fillId="40" borderId="77" applyNumberFormat="0" applyAlignment="0" applyProtection="0"/>
    <xf numFmtId="0" fontId="81" fillId="40" borderId="77" applyNumberFormat="0" applyAlignment="0" applyProtection="0"/>
    <xf numFmtId="184" fontId="81" fillId="40" borderId="77" applyNumberFormat="0" applyAlignment="0" applyProtection="0"/>
    <xf numFmtId="0" fontId="40" fillId="11" borderId="77" applyNumberFormat="0" applyAlignment="0" applyProtection="0"/>
    <xf numFmtId="0" fontId="81" fillId="40" borderId="77" applyNumberFormat="0" applyAlignment="0" applyProtection="0"/>
    <xf numFmtId="0" fontId="73" fillId="4" borderId="77" applyNumberFormat="0" applyAlignment="0" applyProtection="0"/>
    <xf numFmtId="0" fontId="132" fillId="9" borderId="78" applyNumberFormat="0" applyFont="0" applyAlignment="0" applyProtection="0"/>
    <xf numFmtId="0" fontId="142" fillId="11" borderId="79" applyNumberFormat="0" applyAlignment="0" applyProtection="0"/>
    <xf numFmtId="0" fontId="31" fillId="0" borderId="82" applyNumberFormat="0" applyFill="0" applyAlignment="0" applyProtection="0"/>
    <xf numFmtId="0" fontId="20" fillId="9" borderId="78" applyNumberFormat="0" applyFont="0" applyAlignment="0" applyProtection="0"/>
    <xf numFmtId="0" fontId="51" fillId="7" borderId="77" applyNumberFormat="0" applyAlignment="0" applyProtection="0"/>
    <xf numFmtId="0" fontId="33" fillId="9" borderId="78" applyNumberFormat="0" applyFont="0" applyAlignment="0" applyProtection="0"/>
    <xf numFmtId="0" fontId="69" fillId="9" borderId="78" applyNumberFormat="0" applyFont="0" applyAlignment="0" applyProtection="0"/>
    <xf numFmtId="0" fontId="32" fillId="37" borderId="78" applyNumberFormat="0" applyFont="0" applyAlignment="0" applyProtection="0"/>
    <xf numFmtId="0" fontId="33" fillId="9" borderId="78" applyNumberFormat="0" applyFont="0" applyAlignment="0" applyProtection="0"/>
    <xf numFmtId="0" fontId="32" fillId="37" borderId="78" applyNumberFormat="0" applyFont="0" applyAlignment="0" applyProtection="0"/>
    <xf numFmtId="184" fontId="32" fillId="37" borderId="78" applyNumberFormat="0" applyFont="0" applyAlignment="0" applyProtection="0"/>
    <xf numFmtId="0" fontId="32" fillId="37" borderId="78" applyNumberFormat="0" applyFont="0" applyAlignment="0" applyProtection="0"/>
    <xf numFmtId="0" fontId="32" fillId="37" borderId="78" applyNumberFormat="0" applyFont="0" applyAlignment="0" applyProtection="0"/>
    <xf numFmtId="0" fontId="32" fillId="37" borderId="78" applyNumberFormat="0" applyFont="0" applyAlignment="0" applyProtection="0"/>
    <xf numFmtId="0" fontId="32" fillId="37" borderId="78" applyNumberFormat="0" applyFont="0" applyAlignment="0" applyProtection="0"/>
    <xf numFmtId="0" fontId="65" fillId="4" borderId="79" applyNumberFormat="0" applyAlignment="0" applyProtection="0"/>
    <xf numFmtId="0" fontId="89" fillId="40" borderId="79" applyNumberFormat="0" applyAlignment="0" applyProtection="0"/>
    <xf numFmtId="0" fontId="55" fillId="11" borderId="79" applyNumberFormat="0" applyAlignment="0" applyProtection="0"/>
    <xf numFmtId="0" fontId="89" fillId="40" borderId="79" applyNumberFormat="0" applyAlignment="0" applyProtection="0"/>
    <xf numFmtId="184" fontId="89" fillId="40" borderId="79" applyNumberFormat="0" applyAlignment="0" applyProtection="0"/>
    <xf numFmtId="0" fontId="89" fillId="40" borderId="79" applyNumberFormat="0" applyAlignment="0" applyProtection="0"/>
    <xf numFmtId="0" fontId="89" fillId="40" borderId="79" applyNumberFormat="0" applyAlignment="0" applyProtection="0"/>
    <xf numFmtId="0" fontId="89" fillId="40" borderId="79" applyNumberFormat="0" applyAlignment="0" applyProtection="0"/>
    <xf numFmtId="0" fontId="89" fillId="40" borderId="79" applyNumberFormat="0" applyAlignment="0" applyProtection="0"/>
    <xf numFmtId="0" fontId="31" fillId="0" borderId="82" applyNumberFormat="0" applyFill="0" applyAlignment="0" applyProtection="0"/>
    <xf numFmtId="0" fontId="66" fillId="0" borderId="81" applyNumberFormat="0" applyFill="0" applyAlignment="0" applyProtection="0"/>
    <xf numFmtId="0" fontId="31" fillId="0" borderId="82" applyNumberFormat="0" applyFill="0" applyAlignment="0" applyProtection="0"/>
    <xf numFmtId="0" fontId="56" fillId="0" borderId="80" applyNumberFormat="0" applyFill="0" applyAlignment="0" applyProtection="0"/>
    <xf numFmtId="0" fontId="31" fillId="0" borderId="82" applyNumberFormat="0" applyFill="0" applyAlignment="0" applyProtection="0"/>
    <xf numFmtId="0" fontId="31" fillId="0" borderId="82" applyNumberFormat="0" applyFill="0" applyAlignment="0" applyProtection="0"/>
    <xf numFmtId="184" fontId="31" fillId="0" borderId="82" applyNumberFormat="0" applyFill="0" applyAlignment="0" applyProtection="0"/>
    <xf numFmtId="0" fontId="31" fillId="0" borderId="82" applyNumberFormat="0" applyFill="0" applyAlignment="0" applyProtection="0"/>
    <xf numFmtId="0" fontId="31" fillId="0" borderId="82" applyNumberFormat="0" applyFill="0" applyAlignment="0" applyProtection="0"/>
    <xf numFmtId="0" fontId="31" fillId="0" borderId="82" applyNumberFormat="0" applyFill="0" applyAlignment="0" applyProtection="0"/>
    <xf numFmtId="0" fontId="51" fillId="7" borderId="77" applyNumberFormat="0" applyAlignment="0" applyProtection="0"/>
    <xf numFmtId="0" fontId="40" fillId="11" borderId="83" applyNumberFormat="0" applyAlignment="0" applyProtection="0"/>
    <xf numFmtId="0" fontId="51" fillId="7" borderId="83" applyNumberFormat="0" applyAlignment="0" applyProtection="0"/>
    <xf numFmtId="0" fontId="20" fillId="9" borderId="84" applyNumberFormat="0" applyFont="0" applyAlignment="0" applyProtection="0"/>
    <xf numFmtId="0" fontId="55" fillId="11" borderId="85" applyNumberFormat="0" applyAlignment="0" applyProtection="0"/>
    <xf numFmtId="0" fontId="56" fillId="0" borderId="86" applyNumberFormat="0" applyFill="0" applyAlignment="0" applyProtection="0"/>
    <xf numFmtId="0" fontId="40" fillId="11" borderId="71" applyNumberFormat="0" applyAlignment="0" applyProtection="0"/>
    <xf numFmtId="0" fontId="51" fillId="7" borderId="71" applyNumberFormat="0" applyAlignment="0" applyProtection="0"/>
    <xf numFmtId="0" fontId="20" fillId="9" borderId="72" applyNumberFormat="0" applyFont="0" applyAlignment="0" applyProtection="0"/>
    <xf numFmtId="0" fontId="55" fillId="11" borderId="73" applyNumberFormat="0" applyAlignment="0" applyProtection="0"/>
    <xf numFmtId="0" fontId="56" fillId="0" borderId="74" applyNumberFormat="0" applyFill="0" applyAlignment="0" applyProtection="0"/>
    <xf numFmtId="184" fontId="81" fillId="40" borderId="71" applyNumberFormat="0" applyAlignment="0" applyProtection="0"/>
    <xf numFmtId="184" fontId="81" fillId="40" borderId="71" applyNumberFormat="0" applyAlignment="0" applyProtection="0"/>
    <xf numFmtId="184" fontId="81" fillId="40" borderId="71" applyNumberFormat="0" applyAlignment="0" applyProtection="0"/>
    <xf numFmtId="184" fontId="81" fillId="40" borderId="71" applyNumberFormat="0" applyAlignment="0" applyProtection="0"/>
    <xf numFmtId="0" fontId="40" fillId="11" borderId="71" applyNumberFormat="0" applyAlignment="0" applyProtection="0"/>
    <xf numFmtId="0" fontId="40" fillId="11"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73" fillId="4" borderId="71" applyNumberFormat="0" applyAlignment="0" applyProtection="0"/>
    <xf numFmtId="0" fontId="73" fillId="4" borderId="71" applyNumberFormat="0" applyAlignment="0" applyProtection="0"/>
    <xf numFmtId="0" fontId="73" fillId="4" borderId="71" applyNumberFormat="0" applyAlignment="0" applyProtection="0"/>
    <xf numFmtId="0" fontId="73" fillId="4" borderId="71" applyNumberFormat="0" applyAlignment="0" applyProtection="0"/>
    <xf numFmtId="0" fontId="73" fillId="4" borderId="71" applyNumberFormat="0" applyAlignment="0" applyProtection="0"/>
    <xf numFmtId="0" fontId="40" fillId="11" borderId="71" applyNumberFormat="0" applyAlignment="0" applyProtection="0"/>
    <xf numFmtId="0" fontId="40" fillId="11" borderId="71" applyNumberFormat="0" applyAlignment="0" applyProtection="0"/>
    <xf numFmtId="0" fontId="40" fillId="11" borderId="71" applyNumberFormat="0" applyAlignment="0" applyProtection="0"/>
    <xf numFmtId="0" fontId="40" fillId="11" borderId="71" applyNumberFormat="0" applyAlignment="0" applyProtection="0"/>
    <xf numFmtId="0" fontId="40" fillId="11" borderId="71" applyNumberFormat="0" applyAlignment="0" applyProtection="0"/>
    <xf numFmtId="0" fontId="40" fillId="11" borderId="71" applyNumberFormat="0" applyAlignment="0" applyProtection="0"/>
    <xf numFmtId="0" fontId="40" fillId="11" borderId="71" applyNumberFormat="0" applyAlignment="0" applyProtection="0"/>
    <xf numFmtId="0" fontId="40" fillId="11" borderId="71" applyNumberFormat="0" applyAlignment="0" applyProtection="0"/>
    <xf numFmtId="0" fontId="40" fillId="11" borderId="71" applyNumberFormat="0" applyAlignment="0" applyProtection="0"/>
    <xf numFmtId="0" fontId="40" fillId="11" borderId="71" applyNumberFormat="0" applyAlignment="0" applyProtection="0"/>
    <xf numFmtId="0" fontId="40" fillId="11" borderId="71" applyNumberFormat="0" applyAlignment="0" applyProtection="0"/>
    <xf numFmtId="0" fontId="40" fillId="11" borderId="71" applyNumberFormat="0" applyAlignment="0" applyProtection="0"/>
    <xf numFmtId="0" fontId="40" fillId="11"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135" fillId="11" borderId="71" applyNumberFormat="0" applyAlignment="0" applyProtection="0"/>
    <xf numFmtId="0" fontId="135" fillId="11"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184" fontId="81" fillId="40" borderId="71" applyNumberFormat="0" applyAlignment="0" applyProtection="0"/>
    <xf numFmtId="184" fontId="81" fillId="40" borderId="71" applyNumberFormat="0" applyAlignment="0" applyProtection="0"/>
    <xf numFmtId="184" fontId="81" fillId="40" borderId="71" applyNumberFormat="0" applyAlignment="0" applyProtection="0"/>
    <xf numFmtId="184" fontId="81" fillId="40" borderId="71" applyNumberFormat="0" applyAlignment="0" applyProtection="0"/>
    <xf numFmtId="184" fontId="81" fillId="40" borderId="71" applyNumberFormat="0" applyAlignment="0" applyProtection="0"/>
    <xf numFmtId="0" fontId="135" fillId="11" borderId="71" applyNumberFormat="0" applyAlignment="0" applyProtection="0"/>
    <xf numFmtId="0" fontId="135" fillId="11" borderId="71" applyNumberFormat="0" applyAlignment="0" applyProtection="0"/>
    <xf numFmtId="0" fontId="135" fillId="11"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0" fontId="81" fillId="40" borderId="71" applyNumberFormat="0" applyAlignment="0" applyProtection="0"/>
    <xf numFmtId="184" fontId="81" fillId="40" borderId="71" applyNumberFormat="0" applyAlignment="0" applyProtection="0"/>
    <xf numFmtId="184" fontId="81" fillId="40" borderId="71" applyNumberFormat="0" applyAlignment="0" applyProtection="0"/>
    <xf numFmtId="184" fontId="87" fillId="38" borderId="71" applyNumberFormat="0" applyAlignment="0" applyProtection="0"/>
    <xf numFmtId="184" fontId="87" fillId="38" borderId="71" applyNumberFormat="0" applyAlignment="0" applyProtection="0"/>
    <xf numFmtId="184" fontId="87" fillId="38" borderId="71" applyNumberFormat="0" applyAlignment="0" applyProtection="0"/>
    <xf numFmtId="184" fontId="87" fillId="38" borderId="71" applyNumberFormat="0" applyAlignment="0" applyProtection="0"/>
    <xf numFmtId="0" fontId="51" fillId="7" borderId="71" applyNumberFormat="0" applyAlignment="0" applyProtection="0"/>
    <xf numFmtId="0" fontId="51" fillId="7"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0" fontId="64" fillId="14" borderId="71" applyNumberFormat="0" applyAlignment="0" applyProtection="0"/>
    <xf numFmtId="0" fontId="64" fillId="14" borderId="71" applyNumberFormat="0" applyAlignment="0" applyProtection="0"/>
    <xf numFmtId="0" fontId="64" fillId="14" borderId="71" applyNumberFormat="0" applyAlignment="0" applyProtection="0"/>
    <xf numFmtId="0" fontId="64" fillId="14" borderId="71" applyNumberFormat="0" applyAlignment="0" applyProtection="0"/>
    <xf numFmtId="0" fontId="64" fillId="14" borderId="71" applyNumberFormat="0" applyAlignment="0" applyProtection="0"/>
    <xf numFmtId="0" fontId="51" fillId="7" borderId="71" applyNumberFormat="0" applyAlignment="0" applyProtection="0"/>
    <xf numFmtId="0" fontId="51" fillId="7" borderId="71" applyNumberFormat="0" applyAlignment="0" applyProtection="0"/>
    <xf numFmtId="0" fontId="51" fillId="7" borderId="71" applyNumberFormat="0" applyAlignment="0" applyProtection="0"/>
    <xf numFmtId="0" fontId="51" fillId="7" borderId="71" applyNumberFormat="0" applyAlignment="0" applyProtection="0"/>
    <xf numFmtId="0" fontId="51" fillId="7" borderId="71" applyNumberFormat="0" applyAlignment="0" applyProtection="0"/>
    <xf numFmtId="0" fontId="51" fillId="7" borderId="71" applyNumberFormat="0" applyAlignment="0" applyProtection="0"/>
    <xf numFmtId="0" fontId="51" fillId="7" borderId="71" applyNumberFormat="0" applyAlignment="0" applyProtection="0"/>
    <xf numFmtId="0" fontId="51" fillId="7" borderId="71" applyNumberFormat="0" applyAlignment="0" applyProtection="0"/>
    <xf numFmtId="0" fontId="51" fillId="7" borderId="71" applyNumberFormat="0" applyAlignment="0" applyProtection="0"/>
    <xf numFmtId="0" fontId="51" fillId="7" borderId="71" applyNumberFormat="0" applyAlignment="0" applyProtection="0"/>
    <xf numFmtId="0" fontId="51" fillId="7" borderId="71" applyNumberFormat="0" applyAlignment="0" applyProtection="0"/>
    <xf numFmtId="0" fontId="51" fillId="7" borderId="71" applyNumberFormat="0" applyAlignment="0" applyProtection="0"/>
    <xf numFmtId="0" fontId="51" fillId="7"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0" fontId="139" fillId="7" borderId="71" applyNumberFormat="0" applyAlignment="0" applyProtection="0"/>
    <xf numFmtId="0" fontId="139" fillId="7"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184" fontId="87" fillId="38" borderId="71" applyNumberFormat="0" applyAlignment="0" applyProtection="0"/>
    <xf numFmtId="184" fontId="87" fillId="38" borderId="71" applyNumberFormat="0" applyAlignment="0" applyProtection="0"/>
    <xf numFmtId="184" fontId="87" fillId="38" borderId="71" applyNumberFormat="0" applyAlignment="0" applyProtection="0"/>
    <xf numFmtId="184" fontId="87" fillId="38" borderId="71" applyNumberFormat="0" applyAlignment="0" applyProtection="0"/>
    <xf numFmtId="184" fontId="87" fillId="38" borderId="71" applyNumberFormat="0" applyAlignment="0" applyProtection="0"/>
    <xf numFmtId="0" fontId="139" fillId="7" borderId="71" applyNumberFormat="0" applyAlignment="0" applyProtection="0"/>
    <xf numFmtId="0" fontId="139" fillId="7" borderId="71" applyNumberFormat="0" applyAlignment="0" applyProtection="0"/>
    <xf numFmtId="0" fontId="139" fillId="7"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0" fontId="87" fillId="38" borderId="71" applyNumberFormat="0" applyAlignment="0" applyProtection="0"/>
    <xf numFmtId="184" fontId="87" fillId="38" borderId="71" applyNumberFormat="0" applyAlignment="0" applyProtection="0"/>
    <xf numFmtId="184" fontId="87" fillId="38" borderId="71" applyNumberFormat="0" applyAlignment="0" applyProtection="0"/>
    <xf numFmtId="184" fontId="32" fillId="37" borderId="72" applyNumberFormat="0" applyFont="0" applyAlignment="0" applyProtection="0"/>
    <xf numFmtId="184" fontId="32" fillId="37" borderId="72" applyNumberFormat="0" applyFont="0" applyAlignment="0" applyProtection="0"/>
    <xf numFmtId="184" fontId="32" fillId="37" borderId="72" applyNumberFormat="0" applyFont="0" applyAlignment="0" applyProtection="0"/>
    <xf numFmtId="184" fontId="32" fillId="37" borderId="72" applyNumberFormat="0" applyFont="0" applyAlignment="0" applyProtection="0"/>
    <xf numFmtId="0" fontId="20" fillId="9" borderId="72" applyNumberFormat="0" applyFont="0" applyAlignment="0" applyProtection="0"/>
    <xf numFmtId="0" fontId="20" fillId="9"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69" fillId="9" borderId="72" applyNumberFormat="0" applyFont="0" applyAlignment="0" applyProtection="0"/>
    <xf numFmtId="0" fontId="69" fillId="9" borderId="72" applyNumberFormat="0" applyFont="0" applyAlignment="0" applyProtection="0"/>
    <xf numFmtId="0" fontId="69" fillId="9" borderId="72" applyNumberFormat="0" applyFont="0" applyAlignment="0" applyProtection="0"/>
    <xf numFmtId="0" fontId="69" fillId="9" borderId="72" applyNumberFormat="0" applyFont="0" applyAlignment="0" applyProtection="0"/>
    <xf numFmtId="0" fontId="69" fillId="9" borderId="72" applyNumberFormat="0" applyFont="0" applyAlignment="0" applyProtection="0"/>
    <xf numFmtId="0" fontId="20" fillId="9" borderId="72" applyNumberFormat="0" applyFont="0" applyAlignment="0" applyProtection="0"/>
    <xf numFmtId="0" fontId="20" fillId="9" borderId="72" applyNumberFormat="0" applyFont="0" applyAlignment="0" applyProtection="0"/>
    <xf numFmtId="0" fontId="20" fillId="9" borderId="72" applyNumberFormat="0" applyFont="0" applyAlignment="0" applyProtection="0"/>
    <xf numFmtId="0" fontId="20" fillId="9" borderId="72" applyNumberFormat="0" applyFont="0" applyAlignment="0" applyProtection="0"/>
    <xf numFmtId="0" fontId="20" fillId="9" borderId="72" applyNumberFormat="0" applyFont="0" applyAlignment="0" applyProtection="0"/>
    <xf numFmtId="0" fontId="33" fillId="9" borderId="72" applyNumberFormat="0" applyFont="0" applyAlignment="0" applyProtection="0"/>
    <xf numFmtId="0" fontId="33" fillId="9" borderId="72" applyNumberFormat="0" applyFont="0" applyAlignment="0" applyProtection="0"/>
    <xf numFmtId="0" fontId="33" fillId="9" borderId="72" applyNumberFormat="0" applyFont="0" applyAlignment="0" applyProtection="0"/>
    <xf numFmtId="0" fontId="33" fillId="9" borderId="72" applyNumberFormat="0" applyFont="0" applyAlignment="0" applyProtection="0"/>
    <xf numFmtId="0" fontId="33" fillId="9" borderId="72" applyNumberFormat="0" applyFont="0" applyAlignment="0" applyProtection="0"/>
    <xf numFmtId="0" fontId="20" fillId="9" borderId="72" applyNumberFormat="0" applyFont="0" applyAlignment="0" applyProtection="0"/>
    <xf numFmtId="0" fontId="20" fillId="9" borderId="72" applyNumberFormat="0" applyFont="0" applyAlignment="0" applyProtection="0"/>
    <xf numFmtId="0" fontId="20" fillId="9"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3" fillId="9" borderId="72" applyNumberFormat="0" applyFont="0" applyAlignment="0" applyProtection="0"/>
    <xf numFmtId="0" fontId="33" fillId="9" borderId="72" applyNumberFormat="0" applyFont="0" applyAlignment="0" applyProtection="0"/>
    <xf numFmtId="0" fontId="33" fillId="9" borderId="72" applyNumberFormat="0" applyFont="0" applyAlignment="0" applyProtection="0"/>
    <xf numFmtId="0" fontId="33" fillId="9" borderId="72" applyNumberFormat="0" applyFont="0" applyAlignment="0" applyProtection="0"/>
    <xf numFmtId="0" fontId="33" fillId="9" borderId="72" applyNumberFormat="0" applyFont="0" applyAlignment="0" applyProtection="0"/>
    <xf numFmtId="0" fontId="132" fillId="9" borderId="72" applyNumberFormat="0" applyFont="0" applyAlignment="0" applyProtection="0"/>
    <xf numFmtId="0" fontId="132" fillId="9"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184" fontId="32" fillId="37" borderId="72" applyNumberFormat="0" applyFont="0" applyAlignment="0" applyProtection="0"/>
    <xf numFmtId="184" fontId="32" fillId="37" borderId="72" applyNumberFormat="0" applyFont="0" applyAlignment="0" applyProtection="0"/>
    <xf numFmtId="184" fontId="32" fillId="37" borderId="72" applyNumberFormat="0" applyFont="0" applyAlignment="0" applyProtection="0"/>
    <xf numFmtId="184" fontId="32" fillId="37" borderId="72" applyNumberFormat="0" applyFont="0" applyAlignment="0" applyProtection="0"/>
    <xf numFmtId="184" fontId="32" fillId="37" borderId="72" applyNumberFormat="0" applyFont="0" applyAlignment="0" applyProtection="0"/>
    <xf numFmtId="0" fontId="132" fillId="9" borderId="72" applyNumberFormat="0" applyFont="0" applyAlignment="0" applyProtection="0"/>
    <xf numFmtId="0" fontId="132" fillId="9" borderId="72" applyNumberFormat="0" applyFont="0" applyAlignment="0" applyProtection="0"/>
    <xf numFmtId="0" fontId="132" fillId="9"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0" fontId="32" fillId="37" borderId="72" applyNumberFormat="0" applyFont="0" applyAlignment="0" applyProtection="0"/>
    <xf numFmtId="184" fontId="32" fillId="37" borderId="72" applyNumberFormat="0" applyFont="0" applyAlignment="0" applyProtection="0"/>
    <xf numFmtId="184" fontId="32" fillId="37" borderId="72" applyNumberFormat="0" applyFont="0" applyAlignment="0" applyProtection="0"/>
    <xf numFmtId="184" fontId="89" fillId="40" borderId="73" applyNumberFormat="0" applyAlignment="0" applyProtection="0"/>
    <xf numFmtId="184" fontId="89" fillId="40" borderId="73" applyNumberFormat="0" applyAlignment="0" applyProtection="0"/>
    <xf numFmtId="184" fontId="89" fillId="40" borderId="73" applyNumberFormat="0" applyAlignment="0" applyProtection="0"/>
    <xf numFmtId="184" fontId="89" fillId="40" borderId="73" applyNumberFormat="0" applyAlignment="0" applyProtection="0"/>
    <xf numFmtId="0" fontId="55" fillId="11" borderId="73" applyNumberFormat="0" applyAlignment="0" applyProtection="0"/>
    <xf numFmtId="0" fontId="55" fillId="11"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65" fillId="4" borderId="73" applyNumberFormat="0" applyAlignment="0" applyProtection="0"/>
    <xf numFmtId="0" fontId="65" fillId="4" borderId="73" applyNumberFormat="0" applyAlignment="0" applyProtection="0"/>
    <xf numFmtId="0" fontId="65" fillId="4" borderId="73" applyNumberFormat="0" applyAlignment="0" applyProtection="0"/>
    <xf numFmtId="0" fontId="65" fillId="4" borderId="73" applyNumberFormat="0" applyAlignment="0" applyProtection="0"/>
    <xf numFmtId="0" fontId="65" fillId="4" borderId="73" applyNumberFormat="0" applyAlignment="0" applyProtection="0"/>
    <xf numFmtId="0" fontId="55" fillId="11" borderId="73" applyNumberFormat="0" applyAlignment="0" applyProtection="0"/>
    <xf numFmtId="0" fontId="55" fillId="11" borderId="73" applyNumberFormat="0" applyAlignment="0" applyProtection="0"/>
    <xf numFmtId="0" fontId="55" fillId="11" borderId="73" applyNumberFormat="0" applyAlignment="0" applyProtection="0"/>
    <xf numFmtId="0" fontId="55" fillId="11" borderId="73" applyNumberFormat="0" applyAlignment="0" applyProtection="0"/>
    <xf numFmtId="0" fontId="55" fillId="11" borderId="73" applyNumberFormat="0" applyAlignment="0" applyProtection="0"/>
    <xf numFmtId="0" fontId="55" fillId="11" borderId="73" applyNumberFormat="0" applyAlignment="0" applyProtection="0"/>
    <xf numFmtId="0" fontId="55" fillId="11" borderId="73" applyNumberFormat="0" applyAlignment="0" applyProtection="0"/>
    <xf numFmtId="0" fontId="55" fillId="11" borderId="73" applyNumberFormat="0" applyAlignment="0" applyProtection="0"/>
    <xf numFmtId="0" fontId="55" fillId="11" borderId="73" applyNumberFormat="0" applyAlignment="0" applyProtection="0"/>
    <xf numFmtId="0" fontId="55" fillId="11" borderId="73" applyNumberFormat="0" applyAlignment="0" applyProtection="0"/>
    <xf numFmtId="0" fontId="55" fillId="11" borderId="73" applyNumberFormat="0" applyAlignment="0" applyProtection="0"/>
    <xf numFmtId="0" fontId="55" fillId="11" borderId="73" applyNumberFormat="0" applyAlignment="0" applyProtection="0"/>
    <xf numFmtId="0" fontId="55" fillId="11"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142" fillId="11" borderId="73" applyNumberFormat="0" applyAlignment="0" applyProtection="0"/>
    <xf numFmtId="0" fontId="142" fillId="11"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184" fontId="89" fillId="40" borderId="73" applyNumberFormat="0" applyAlignment="0" applyProtection="0"/>
    <xf numFmtId="184" fontId="89" fillId="40" borderId="73" applyNumberFormat="0" applyAlignment="0" applyProtection="0"/>
    <xf numFmtId="184" fontId="89" fillId="40" borderId="73" applyNumberFormat="0" applyAlignment="0" applyProtection="0"/>
    <xf numFmtId="184" fontId="89" fillId="40" borderId="73" applyNumberFormat="0" applyAlignment="0" applyProtection="0"/>
    <xf numFmtId="184" fontId="89" fillId="40" borderId="73" applyNumberFormat="0" applyAlignment="0" applyProtection="0"/>
    <xf numFmtId="0" fontId="142" fillId="11" borderId="73" applyNumberFormat="0" applyAlignment="0" applyProtection="0"/>
    <xf numFmtId="0" fontId="142" fillId="11" borderId="73" applyNumberFormat="0" applyAlignment="0" applyProtection="0"/>
    <xf numFmtId="0" fontId="142" fillId="11"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0" fontId="89" fillId="40" borderId="73" applyNumberFormat="0" applyAlignment="0" applyProtection="0"/>
    <xf numFmtId="184" fontId="89" fillId="40" borderId="73" applyNumberFormat="0" applyAlignment="0" applyProtection="0"/>
    <xf numFmtId="184" fontId="89" fillId="40" borderId="73" applyNumberFormat="0" applyAlignment="0" applyProtection="0"/>
    <xf numFmtId="184" fontId="31" fillId="0" borderId="76" applyNumberFormat="0" applyFill="0" applyAlignment="0" applyProtection="0"/>
    <xf numFmtId="184" fontId="31" fillId="0" borderId="76" applyNumberFormat="0" applyFill="0" applyAlignment="0" applyProtection="0"/>
    <xf numFmtId="184" fontId="31" fillId="0" borderId="76" applyNumberFormat="0" applyFill="0" applyAlignment="0" applyProtection="0"/>
    <xf numFmtId="184"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66" fillId="0" borderId="75" applyNumberFormat="0" applyFill="0" applyAlignment="0" applyProtection="0"/>
    <xf numFmtId="0" fontId="66" fillId="0" borderId="75" applyNumberFormat="0" applyFill="0" applyAlignment="0" applyProtection="0"/>
    <xf numFmtId="0" fontId="66" fillId="0" borderId="75" applyNumberFormat="0" applyFill="0" applyAlignment="0" applyProtection="0"/>
    <xf numFmtId="0" fontId="66" fillId="0" borderId="75" applyNumberFormat="0" applyFill="0" applyAlignment="0" applyProtection="0"/>
    <xf numFmtId="0" fontId="66" fillId="0" borderId="75"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56" fillId="0" borderId="74"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143" fillId="0" borderId="74" applyNumberFormat="0" applyFill="0" applyAlignment="0" applyProtection="0"/>
    <xf numFmtId="0" fontId="143" fillId="0" borderId="74" applyNumberFormat="0" applyFill="0" applyAlignment="0" applyProtection="0"/>
    <xf numFmtId="0" fontId="143" fillId="0" borderId="74"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184" fontId="31" fillId="0" borderId="76" applyNumberFormat="0" applyFill="0" applyAlignment="0" applyProtection="0"/>
    <xf numFmtId="184" fontId="31" fillId="0" borderId="76" applyNumberFormat="0" applyFill="0" applyAlignment="0" applyProtection="0"/>
    <xf numFmtId="184" fontId="31" fillId="0" borderId="76" applyNumberFormat="0" applyFill="0" applyAlignment="0" applyProtection="0"/>
    <xf numFmtId="184" fontId="31" fillId="0" borderId="76" applyNumberFormat="0" applyFill="0" applyAlignment="0" applyProtection="0"/>
    <xf numFmtId="184" fontId="31" fillId="0" borderId="76" applyNumberFormat="0" applyFill="0" applyAlignment="0" applyProtection="0"/>
    <xf numFmtId="0" fontId="143" fillId="0" borderId="74" applyNumberFormat="0" applyFill="0" applyAlignment="0" applyProtection="0"/>
    <xf numFmtId="0" fontId="143" fillId="0" borderId="74"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0" fontId="31" fillId="0" borderId="76" applyNumberFormat="0" applyFill="0" applyAlignment="0" applyProtection="0"/>
    <xf numFmtId="184" fontId="31" fillId="0" borderId="76" applyNumberFormat="0" applyFill="0" applyAlignment="0" applyProtection="0"/>
    <xf numFmtId="184" fontId="31" fillId="0" borderId="76" applyNumberFormat="0" applyFill="0" applyAlignment="0" applyProtection="0"/>
    <xf numFmtId="0" fontId="55" fillId="11" borderId="73" applyNumberFormat="0" applyAlignment="0" applyProtection="0"/>
    <xf numFmtId="0" fontId="56" fillId="0" borderId="74" applyNumberFormat="0" applyFill="0" applyAlignment="0" applyProtection="0"/>
    <xf numFmtId="0" fontId="119" fillId="0" borderId="0" applyNumberFormat="0" applyFill="0" applyBorder="0" applyAlignment="0" applyProtection="0"/>
    <xf numFmtId="0" fontId="149" fillId="0" borderId="23" applyNumberFormat="0" applyFill="0" applyAlignment="0" applyProtection="0"/>
    <xf numFmtId="0" fontId="150" fillId="0" borderId="24" applyNumberFormat="0" applyFill="0" applyAlignment="0" applyProtection="0"/>
    <xf numFmtId="0" fontId="151" fillId="0" borderId="25" applyNumberFormat="0" applyFill="0" applyAlignment="0" applyProtection="0"/>
    <xf numFmtId="0" fontId="151" fillId="0" borderId="0" applyNumberFormat="0" applyFill="0" applyBorder="0" applyAlignment="0" applyProtection="0"/>
    <xf numFmtId="0" fontId="152" fillId="74" borderId="0" applyNumberFormat="0" applyBorder="0" applyAlignment="0" applyProtection="0"/>
    <xf numFmtId="0" fontId="153" fillId="71" borderId="0" applyNumberFormat="0" applyBorder="0" applyAlignment="0" applyProtection="0"/>
    <xf numFmtId="0" fontId="154" fillId="76" borderId="0" applyNumberFormat="0" applyBorder="0" applyAlignment="0" applyProtection="0"/>
    <xf numFmtId="0" fontId="155" fillId="75" borderId="21" applyNumberFormat="0" applyAlignment="0" applyProtection="0"/>
    <xf numFmtId="0" fontId="156" fillId="72" borderId="28" applyNumberFormat="0" applyAlignment="0" applyProtection="0"/>
    <xf numFmtId="0" fontId="157" fillId="72" borderId="21" applyNumberFormat="0" applyAlignment="0" applyProtection="0"/>
    <xf numFmtId="0" fontId="158" fillId="0" borderId="26" applyNumberFormat="0" applyFill="0" applyAlignment="0" applyProtection="0"/>
    <xf numFmtId="0" fontId="159" fillId="73" borderId="22" applyNumberFormat="0" applyAlignment="0" applyProtection="0"/>
    <xf numFmtId="0" fontId="160" fillId="0" borderId="0" applyNumberFormat="0" applyFill="0" applyBorder="0" applyAlignment="0" applyProtection="0"/>
    <xf numFmtId="0" fontId="161" fillId="0" borderId="0" applyNumberFormat="0" applyFill="0" applyBorder="0" applyAlignment="0" applyProtection="0"/>
    <xf numFmtId="0" fontId="162" fillId="0" borderId="29" applyNumberFormat="0" applyFill="0" applyAlignment="0" applyProtection="0"/>
    <xf numFmtId="0" fontId="103" fillId="65" borderId="0" applyNumberFormat="0" applyBorder="0" applyAlignment="0" applyProtection="0"/>
    <xf numFmtId="0" fontId="1" fillId="47" borderId="0" applyNumberFormat="0" applyBorder="0" applyAlignment="0" applyProtection="0"/>
    <xf numFmtId="0" fontId="1" fillId="53" borderId="0" applyNumberFormat="0" applyBorder="0" applyAlignment="0" applyProtection="0"/>
    <xf numFmtId="0" fontId="103" fillId="59" borderId="0" applyNumberFormat="0" applyBorder="0" applyAlignment="0" applyProtection="0"/>
    <xf numFmtId="0" fontId="103" fillId="66" borderId="0" applyNumberFormat="0" applyBorder="0" applyAlignment="0" applyProtection="0"/>
    <xf numFmtId="0" fontId="1" fillId="48" borderId="0" applyNumberFormat="0" applyBorder="0" applyAlignment="0" applyProtection="0"/>
    <xf numFmtId="0" fontId="1" fillId="54" borderId="0" applyNumberFormat="0" applyBorder="0" applyAlignment="0" applyProtection="0"/>
    <xf numFmtId="0" fontId="103" fillId="60" borderId="0" applyNumberFormat="0" applyBorder="0" applyAlignment="0" applyProtection="0"/>
    <xf numFmtId="0" fontId="103" fillId="67" borderId="0" applyNumberFormat="0" applyBorder="0" applyAlignment="0" applyProtection="0"/>
    <xf numFmtId="0" fontId="1" fillId="49" borderId="0" applyNumberFormat="0" applyBorder="0" applyAlignment="0" applyProtection="0"/>
    <xf numFmtId="0" fontId="1" fillId="55" borderId="0" applyNumberFormat="0" applyBorder="0" applyAlignment="0" applyProtection="0"/>
    <xf numFmtId="0" fontId="103" fillId="61" borderId="0" applyNumberFormat="0" applyBorder="0" applyAlignment="0" applyProtection="0"/>
    <xf numFmtId="0" fontId="103" fillId="68"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03" fillId="62" borderId="0" applyNumberFormat="0" applyBorder="0" applyAlignment="0" applyProtection="0"/>
    <xf numFmtId="0" fontId="103" fillId="69" borderId="0" applyNumberFormat="0" applyBorder="0" applyAlignment="0" applyProtection="0"/>
    <xf numFmtId="0" fontId="1" fillId="51" borderId="0" applyNumberFormat="0" applyBorder="0" applyAlignment="0" applyProtection="0"/>
    <xf numFmtId="0" fontId="1" fillId="57" borderId="0" applyNumberFormat="0" applyBorder="0" applyAlignment="0" applyProtection="0"/>
    <xf numFmtId="0" fontId="103" fillId="63" borderId="0" applyNumberFormat="0" applyBorder="0" applyAlignment="0" applyProtection="0"/>
    <xf numFmtId="0" fontId="103" fillId="70" borderId="0" applyNumberFormat="0" applyBorder="0" applyAlignment="0" applyProtection="0"/>
    <xf numFmtId="0" fontId="1" fillId="52" borderId="0" applyNumberFormat="0" applyBorder="0" applyAlignment="0" applyProtection="0"/>
    <xf numFmtId="0" fontId="1" fillId="58" borderId="0" applyNumberFormat="0" applyBorder="0" applyAlignment="0" applyProtection="0"/>
    <xf numFmtId="0" fontId="103" fillId="64" borderId="0" applyNumberFormat="0" applyBorder="0" applyAlignment="0" applyProtection="0"/>
    <xf numFmtId="0" fontId="163" fillId="0" borderId="0"/>
    <xf numFmtId="43" fontId="1" fillId="0" borderId="0" applyFont="0" applyFill="0" applyBorder="0" applyAlignment="0" applyProtection="0"/>
    <xf numFmtId="0" fontId="1" fillId="0" borderId="0"/>
    <xf numFmtId="0" fontId="164" fillId="0" borderId="0"/>
    <xf numFmtId="0" fontId="164" fillId="0" borderId="0"/>
    <xf numFmtId="0" fontId="1" fillId="77" borderId="27" applyNumberFormat="0" applyFont="0" applyAlignment="0" applyProtection="0"/>
    <xf numFmtId="0" fontId="163" fillId="0" borderId="0"/>
    <xf numFmtId="0" fontId="165" fillId="0" borderId="0"/>
    <xf numFmtId="186" fontId="165" fillId="0" borderId="0" applyFont="0" applyFill="0" applyBorder="0" applyAlignment="0" applyProtection="0"/>
    <xf numFmtId="0" fontId="165" fillId="0" borderId="0"/>
    <xf numFmtId="0" fontId="18" fillId="0" borderId="0"/>
    <xf numFmtId="0" fontId="30" fillId="30" borderId="0" applyNumberFormat="0" applyBorder="0" applyAlignment="0" applyProtection="0"/>
    <xf numFmtId="0" fontId="89" fillId="40" borderId="85" applyNumberFormat="0" applyAlignment="0" applyProtection="0"/>
    <xf numFmtId="0" fontId="32" fillId="37" borderId="84" applyNumberFormat="0" applyFont="0" applyAlignment="0" applyProtection="0"/>
    <xf numFmtId="0" fontId="30" fillId="32" borderId="0" applyNumberFormat="0" applyBorder="0" applyAlignment="0" applyProtection="0"/>
    <xf numFmtId="0" fontId="87" fillId="38" borderId="83" applyNumberFormat="0" applyAlignment="0" applyProtection="0"/>
    <xf numFmtId="0" fontId="30" fillId="34" borderId="0" applyNumberFormat="0" applyBorder="0" applyAlignment="0" applyProtection="0"/>
    <xf numFmtId="0" fontId="30" fillId="36" borderId="0" applyNumberFormat="0" applyBorder="0" applyAlignment="0" applyProtection="0"/>
    <xf numFmtId="0" fontId="81" fillId="40" borderId="83" applyNumberFormat="0" applyAlignment="0" applyProtection="0"/>
    <xf numFmtId="0" fontId="30" fillId="39"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34" borderId="0" applyNumberFormat="0" applyBorder="0" applyAlignment="0" applyProtection="0"/>
    <xf numFmtId="0" fontId="30" fillId="32" borderId="0" applyNumberFormat="0" applyBorder="0" applyAlignment="0" applyProtection="0"/>
    <xf numFmtId="0" fontId="30" fillId="30" borderId="0" applyNumberFormat="0" applyBorder="0" applyAlignment="0" applyProtection="0"/>
    <xf numFmtId="0" fontId="30" fillId="26" borderId="0" applyNumberFormat="0" applyBorder="0" applyAlignment="0" applyProtection="0"/>
    <xf numFmtId="0" fontId="20" fillId="0" borderId="0"/>
    <xf numFmtId="0" fontId="30" fillId="26" borderId="0" applyNumberFormat="0" applyBorder="0" applyAlignment="0" applyProtection="0"/>
    <xf numFmtId="0" fontId="20" fillId="0" borderId="0"/>
    <xf numFmtId="0" fontId="20" fillId="0" borderId="0"/>
    <xf numFmtId="0" fontId="20" fillId="0" borderId="0"/>
    <xf numFmtId="0" fontId="30" fillId="26" borderId="0" applyNumberFormat="0" applyBorder="0" applyAlignment="0" applyProtection="0"/>
    <xf numFmtId="0" fontId="30" fillId="30" borderId="0" applyNumberFormat="0" applyBorder="0" applyAlignment="0" applyProtection="0"/>
    <xf numFmtId="0" fontId="30" fillId="32" borderId="0" applyNumberFormat="0" applyBorder="0" applyAlignment="0" applyProtection="0"/>
    <xf numFmtId="0" fontId="30" fillId="34"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167" fillId="0" borderId="0"/>
    <xf numFmtId="0" fontId="30" fillId="26" borderId="0" applyNumberFormat="0" applyBorder="0" applyAlignment="0" applyProtection="0"/>
    <xf numFmtId="0" fontId="30" fillId="30" borderId="0" applyNumberFormat="0" applyBorder="0" applyAlignment="0" applyProtection="0"/>
    <xf numFmtId="0" fontId="30" fillId="32" borderId="0" applyNumberFormat="0" applyBorder="0" applyAlignment="0" applyProtection="0"/>
    <xf numFmtId="0" fontId="30" fillId="34"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cellStyleXfs>
  <cellXfs count="316">
    <xf numFmtId="0" fontId="0" fillId="0" borderId="0" xfId="0"/>
    <xf numFmtId="0" fontId="0" fillId="0" borderId="0" xfId="0" applyAlignment="1">
      <alignment horizontal="left"/>
    </xf>
    <xf numFmtId="0" fontId="0" fillId="0" borderId="0" xfId="0" quotePrefix="1" applyAlignment="1">
      <alignment horizontal="left" indent="2"/>
    </xf>
    <xf numFmtId="0" fontId="0" fillId="0" borderId="20" xfId="0" applyBorder="1"/>
    <xf numFmtId="0" fontId="0" fillId="0" borderId="0" xfId="0" applyAlignment="1">
      <alignment horizontal="left" indent="1"/>
    </xf>
    <xf numFmtId="164" fontId="0" fillId="0" borderId="0" xfId="0" applyNumberFormat="1"/>
    <xf numFmtId="164" fontId="11" fillId="0" borderId="0" xfId="0" applyNumberFormat="1" applyFont="1"/>
    <xf numFmtId="164" fontId="0" fillId="0" borderId="20" xfId="0" applyNumberFormat="1" applyBorder="1"/>
    <xf numFmtId="164" fontId="11" fillId="0" borderId="0" xfId="0" applyNumberFormat="1" applyFont="1" applyAlignment="1"/>
    <xf numFmtId="0" fontId="0" fillId="0" borderId="20" xfId="0" applyBorder="1" applyAlignment="1">
      <alignment horizontal="centerContinuous"/>
    </xf>
    <xf numFmtId="0" fontId="12" fillId="0" borderId="0" xfId="0" applyFont="1" applyAlignment="1">
      <alignment horizontal="left"/>
    </xf>
    <xf numFmtId="0" fontId="12" fillId="0" borderId="0" xfId="0" applyFont="1" applyBorder="1" applyAlignment="1">
      <alignment horizontal="left" vertical="center"/>
    </xf>
    <xf numFmtId="0" fontId="10" fillId="0" borderId="0" xfId="0" applyFont="1" applyBorder="1" applyAlignment="1">
      <alignment horizontal="left" vertical="center"/>
    </xf>
    <xf numFmtId="167" fontId="10" fillId="0" borderId="0" xfId="0" applyNumberFormat="1" applyFont="1" applyBorder="1" applyAlignment="1"/>
    <xf numFmtId="167" fontId="11" fillId="0" borderId="0" xfId="0" applyNumberFormat="1" applyFont="1" applyBorder="1" applyAlignment="1"/>
    <xf numFmtId="167" fontId="0" fillId="0" borderId="0" xfId="0" applyNumberFormat="1" applyAlignment="1"/>
    <xf numFmtId="167" fontId="10" fillId="0" borderId="0" xfId="0" applyNumberFormat="1" applyFont="1" applyAlignment="1"/>
    <xf numFmtId="164" fontId="10" fillId="0" borderId="0" xfId="0" applyNumberFormat="1" applyFont="1" applyBorder="1" applyAlignment="1"/>
    <xf numFmtId="164" fontId="11" fillId="0" borderId="0" xfId="0" applyNumberFormat="1" applyFont="1" applyBorder="1" applyAlignment="1"/>
    <xf numFmtId="164" fontId="10" fillId="0" borderId="0" xfId="0" applyNumberFormat="1" applyFont="1" applyAlignment="1"/>
    <xf numFmtId="0" fontId="0" fillId="0" borderId="0" xfId="0" applyBorder="1" applyAlignment="1">
      <alignment horizontal="centerContinuous"/>
    </xf>
    <xf numFmtId="164" fontId="0" fillId="0" borderId="0" xfId="0" applyNumberFormat="1" applyBorder="1"/>
    <xf numFmtId="0" fontId="0" fillId="0" borderId="0" xfId="0" applyBorder="1" applyAlignment="1">
      <alignment horizontal="right"/>
    </xf>
    <xf numFmtId="0" fontId="0" fillId="0" borderId="0" xfId="0" applyBorder="1"/>
    <xf numFmtId="0" fontId="0" fillId="0" borderId="0" xfId="0" quotePrefix="1" applyBorder="1" applyAlignment="1">
      <alignment horizontal="left" indent="2"/>
    </xf>
    <xf numFmtId="0" fontId="11" fillId="0" borderId="0" xfId="0" applyFont="1" applyBorder="1" applyAlignment="1">
      <alignment horizontal="left"/>
    </xf>
    <xf numFmtId="0" fontId="0" fillId="0" borderId="20" xfId="0" quotePrefix="1" applyBorder="1" applyAlignment="1">
      <alignment horizontal="left" indent="2"/>
    </xf>
    <xf numFmtId="0" fontId="11" fillId="0" borderId="20" xfId="0" applyFont="1" applyBorder="1" applyAlignment="1">
      <alignment horizontal="left"/>
    </xf>
    <xf numFmtId="0" fontId="11" fillId="0" borderId="0" xfId="0" applyFont="1" applyBorder="1"/>
    <xf numFmtId="0" fontId="10" fillId="0" borderId="0" xfId="0" quotePrefix="1" applyFont="1" applyAlignment="1">
      <alignment horizontal="left"/>
    </xf>
    <xf numFmtId="168" fontId="0" fillId="0" borderId="0" xfId="0" applyNumberFormat="1" applyBorder="1" applyAlignment="1">
      <alignment horizontal="right"/>
    </xf>
    <xf numFmtId="0" fontId="10" fillId="0" borderId="0" xfId="0" applyFont="1"/>
    <xf numFmtId="164" fontId="8" fillId="0" borderId="0" xfId="0" applyNumberFormat="1" applyFont="1"/>
    <xf numFmtId="164" fontId="11" fillId="0" borderId="0" xfId="0" applyNumberFormat="1" applyFont="1" applyFill="1" applyBorder="1" applyAlignment="1"/>
    <xf numFmtId="164" fontId="11" fillId="0" borderId="0" xfId="0" applyNumberFormat="1" applyFont="1" applyFill="1" applyAlignment="1"/>
    <xf numFmtId="164" fontId="11" fillId="0" borderId="0" xfId="0" applyNumberFormat="1" applyFont="1" applyFill="1"/>
    <xf numFmtId="1" fontId="11" fillId="0" borderId="0" xfId="0" applyNumberFormat="1" applyFont="1" applyAlignment="1"/>
    <xf numFmtId="164" fontId="10" fillId="0" borderId="0" xfId="0" applyNumberFormat="1" applyFont="1"/>
    <xf numFmtId="164" fontId="10" fillId="0" borderId="0" xfId="0" applyNumberFormat="1" applyFont="1" applyFill="1" applyAlignment="1"/>
    <xf numFmtId="164" fontId="10" fillId="46" borderId="0" xfId="0" applyNumberFormat="1" applyFont="1" applyFill="1" applyBorder="1" applyAlignment="1"/>
    <xf numFmtId="164" fontId="10" fillId="46" borderId="0" xfId="0" applyNumberFormat="1" applyFont="1" applyFill="1" applyAlignment="1"/>
    <xf numFmtId="164" fontId="10" fillId="46" borderId="0" xfId="0" applyNumberFormat="1" applyFont="1" applyFill="1" applyAlignment="1">
      <alignment horizontal="center" wrapText="1"/>
    </xf>
    <xf numFmtId="2" fontId="10" fillId="46" borderId="0" xfId="0" applyNumberFormat="1" applyFont="1" applyFill="1" applyBorder="1" applyAlignment="1"/>
    <xf numFmtId="164" fontId="11" fillId="46" borderId="0" xfId="0" applyNumberFormat="1" applyFont="1" applyFill="1" applyBorder="1"/>
    <xf numFmtId="1" fontId="0" fillId="46" borderId="20" xfId="0" applyNumberFormat="1" applyFill="1" applyBorder="1" applyAlignment="1">
      <alignment horizontal="centerContinuous"/>
    </xf>
    <xf numFmtId="164" fontId="0" fillId="46" borderId="20" xfId="0" applyNumberFormat="1" applyFill="1" applyBorder="1" applyAlignment="1">
      <alignment horizontal="centerContinuous"/>
    </xf>
    <xf numFmtId="164" fontId="0" fillId="46" borderId="20" xfId="0" applyNumberFormat="1" applyFill="1" applyBorder="1"/>
    <xf numFmtId="1" fontId="0" fillId="46" borderId="0" xfId="0" applyNumberFormat="1" applyFill="1" applyBorder="1" applyAlignment="1">
      <alignment horizontal="centerContinuous"/>
    </xf>
    <xf numFmtId="164" fontId="0" fillId="46" borderId="0" xfId="0" applyNumberFormat="1" applyFill="1" applyBorder="1" applyAlignment="1">
      <alignment horizontal="centerContinuous"/>
    </xf>
    <xf numFmtId="164" fontId="0" fillId="46" borderId="0" xfId="0" applyNumberFormat="1" applyFill="1" applyBorder="1"/>
    <xf numFmtId="164" fontId="0" fillId="46" borderId="0" xfId="0" applyNumberFormat="1" applyFill="1" applyBorder="1" applyAlignment="1">
      <alignment horizontal="right"/>
    </xf>
    <xf numFmtId="168" fontId="0" fillId="46" borderId="0" xfId="0" applyNumberFormat="1" applyFill="1" applyBorder="1" applyAlignment="1">
      <alignment horizontal="right"/>
    </xf>
    <xf numFmtId="164" fontId="10" fillId="46" borderId="0" xfId="0" quotePrefix="1" applyNumberFormat="1" applyFont="1" applyFill="1" applyAlignment="1">
      <alignment horizontal="center" wrapText="1"/>
    </xf>
    <xf numFmtId="164" fontId="0" fillId="46" borderId="0" xfId="0" applyNumberFormat="1" applyFill="1"/>
    <xf numFmtId="2" fontId="0" fillId="46" borderId="0" xfId="0" applyNumberFormat="1" applyFill="1"/>
    <xf numFmtId="164" fontId="10" fillId="46" borderId="0" xfId="0" applyNumberFormat="1" applyFont="1" applyFill="1" applyAlignment="1">
      <alignment horizontal="right"/>
    </xf>
    <xf numFmtId="164" fontId="10" fillId="46" borderId="0" xfId="0" applyNumberFormat="1" applyFont="1" applyFill="1" applyBorder="1" applyAlignment="1">
      <alignment horizontal="right"/>
    </xf>
    <xf numFmtId="164" fontId="11" fillId="46" borderId="0" xfId="0" applyNumberFormat="1" applyFont="1" applyFill="1"/>
    <xf numFmtId="0" fontId="10" fillId="46" borderId="0" xfId="690" applyFont="1" applyFill="1" applyBorder="1"/>
    <xf numFmtId="0" fontId="10" fillId="46" borderId="20" xfId="690" applyFont="1" applyFill="1" applyBorder="1" applyAlignment="1">
      <alignment horizontal="left" vertical="center"/>
    </xf>
    <xf numFmtId="0" fontId="10" fillId="46" borderId="20" xfId="690" applyFont="1" applyFill="1" applyBorder="1" applyAlignment="1">
      <alignment horizontal="centerContinuous"/>
    </xf>
    <xf numFmtId="0" fontId="10" fillId="46" borderId="20" xfId="690" applyFont="1" applyFill="1" applyBorder="1"/>
    <xf numFmtId="0" fontId="10" fillId="46" borderId="0" xfId="690" applyFont="1" applyFill="1" applyBorder="1" applyAlignment="1">
      <alignment horizontal="left" vertical="center"/>
    </xf>
    <xf numFmtId="0" fontId="10" fillId="46" borderId="0" xfId="690" applyFont="1" applyFill="1" applyBorder="1" applyAlignment="1">
      <alignment horizontal="centerContinuous"/>
    </xf>
    <xf numFmtId="0" fontId="10" fillId="46" borderId="0" xfId="690" applyFont="1" applyFill="1" applyBorder="1" applyAlignment="1">
      <alignment horizontal="right"/>
    </xf>
    <xf numFmtId="168" fontId="10" fillId="46" borderId="0" xfId="690" applyNumberFormat="1" applyFont="1" applyFill="1" applyBorder="1" applyAlignment="1">
      <alignment horizontal="right"/>
    </xf>
    <xf numFmtId="168" fontId="19" fillId="46" borderId="0" xfId="690" applyNumberFormat="1" applyFont="1" applyFill="1" applyBorder="1" applyAlignment="1">
      <alignment horizontal="right"/>
    </xf>
    <xf numFmtId="0" fontId="10" fillId="46" borderId="0" xfId="690" applyFont="1" applyFill="1" applyBorder="1" applyAlignment="1">
      <alignment horizontal="center"/>
    </xf>
    <xf numFmtId="0" fontId="10" fillId="46" borderId="20" xfId="690" applyFont="1" applyFill="1" applyBorder="1" applyAlignment="1">
      <alignment horizontal="center"/>
    </xf>
    <xf numFmtId="0" fontId="10" fillId="46" borderId="0" xfId="690" quotePrefix="1" applyFont="1" applyFill="1" applyBorder="1" applyAlignment="1">
      <alignment horizontal="left" indent="2"/>
    </xf>
    <xf numFmtId="164" fontId="10" fillId="46" borderId="0" xfId="690" applyNumberFormat="1" applyFont="1" applyFill="1" applyBorder="1"/>
    <xf numFmtId="0" fontId="10" fillId="46" borderId="0" xfId="690" applyFont="1" applyFill="1"/>
    <xf numFmtId="0" fontId="12" fillId="46" borderId="0" xfId="690" applyFont="1" applyFill="1" applyAlignment="1">
      <alignment horizontal="left"/>
    </xf>
    <xf numFmtId="164" fontId="10" fillId="46" borderId="0" xfId="690" applyNumberFormat="1" applyFont="1" applyFill="1"/>
    <xf numFmtId="164" fontId="10" fillId="46" borderId="0" xfId="396" applyNumberFormat="1" applyFont="1" applyFill="1"/>
    <xf numFmtId="0" fontId="10" fillId="46" borderId="0" xfId="690" applyFont="1" applyFill="1" applyAlignment="1">
      <alignment horizontal="left" indent="1"/>
    </xf>
    <xf numFmtId="164" fontId="11" fillId="46" borderId="0" xfId="396" applyNumberFormat="1" applyFont="1" applyFill="1"/>
    <xf numFmtId="0" fontId="10" fillId="46" borderId="0" xfId="690" applyFont="1" applyFill="1" applyAlignment="1">
      <alignment horizontal="left" indent="2"/>
    </xf>
    <xf numFmtId="0" fontId="10" fillId="46" borderId="0" xfId="690" applyFont="1" applyFill="1" applyAlignment="1">
      <alignment horizontal="left"/>
    </xf>
    <xf numFmtId="1" fontId="10" fillId="46" borderId="0" xfId="690" applyNumberFormat="1" applyFont="1" applyFill="1"/>
    <xf numFmtId="164" fontId="10" fillId="46" borderId="0" xfId="690" applyNumberFormat="1" applyFont="1" applyFill="1" applyAlignment="1">
      <alignment horizontal="center" wrapText="1"/>
    </xf>
    <xf numFmtId="0" fontId="10" fillId="46" borderId="0" xfId="690" applyFont="1" applyFill="1" applyAlignment="1">
      <alignment horizontal="center" wrapText="1"/>
    </xf>
    <xf numFmtId="3" fontId="10" fillId="46" borderId="0" xfId="690" applyNumberFormat="1" applyFont="1" applyFill="1"/>
    <xf numFmtId="0" fontId="10" fillId="46" borderId="0" xfId="690" applyFont="1" applyFill="1" applyAlignment="1">
      <alignment horizontal="left" indent="3"/>
    </xf>
    <xf numFmtId="165" fontId="10" fillId="46" borderId="0" xfId="690" applyNumberFormat="1" applyFont="1" applyFill="1"/>
    <xf numFmtId="3" fontId="10" fillId="46" borderId="20" xfId="690" applyNumberFormat="1" applyFont="1" applyFill="1" applyBorder="1"/>
    <xf numFmtId="0" fontId="10" fillId="0" borderId="0" xfId="0" applyFont="1" applyFill="1" applyAlignment="1"/>
    <xf numFmtId="164" fontId="10" fillId="0" borderId="0" xfId="0" applyNumberFormat="1" applyFont="1" applyFill="1" applyBorder="1" applyAlignment="1"/>
    <xf numFmtId="167" fontId="11" fillId="0" borderId="0" xfId="0" applyNumberFormat="1" applyFont="1" applyAlignment="1"/>
    <xf numFmtId="164" fontId="11" fillId="46" borderId="0" xfId="690" applyNumberFormat="1" applyFont="1" applyFill="1"/>
    <xf numFmtId="164" fontId="10" fillId="46" borderId="20" xfId="690" applyNumberFormat="1" applyFont="1" applyFill="1" applyBorder="1"/>
    <xf numFmtId="164" fontId="0" fillId="46" borderId="0" xfId="0" quotePrefix="1" applyNumberFormat="1" applyFill="1" applyAlignment="1">
      <alignment horizontal="left" indent="1"/>
    </xf>
    <xf numFmtId="164" fontId="0" fillId="46" borderId="0" xfId="0" applyNumberFormat="1" applyFill="1" applyAlignment="1">
      <alignment horizontal="left" indent="1"/>
    </xf>
    <xf numFmtId="0" fontId="11" fillId="46" borderId="0" xfId="690" applyFont="1" applyFill="1"/>
    <xf numFmtId="0" fontId="10" fillId="0" borderId="0" xfId="0" applyFont="1" applyFill="1" applyBorder="1" applyAlignment="1">
      <alignment horizontal="left"/>
    </xf>
    <xf numFmtId="0" fontId="10" fillId="0" borderId="0" xfId="0" quotePrefix="1" applyFont="1" applyFill="1" applyAlignment="1">
      <alignment horizontal="left" indent="1"/>
    </xf>
    <xf numFmtId="0" fontId="10" fillId="0" borderId="0" xfId="0" applyFont="1" applyFill="1" applyAlignment="1">
      <alignment horizontal="left" indent="1"/>
    </xf>
    <xf numFmtId="0" fontId="18" fillId="0" borderId="0" xfId="0" applyFont="1" applyFill="1" applyAlignment="1"/>
    <xf numFmtId="0" fontId="21" fillId="0" borderId="0" xfId="0" applyFont="1" applyFill="1" applyAlignment="1"/>
    <xf numFmtId="0" fontId="10" fillId="0" borderId="20" xfId="0" applyFont="1" applyFill="1" applyBorder="1" applyAlignment="1"/>
    <xf numFmtId="0" fontId="10" fillId="0" borderId="0" xfId="0" applyFont="1" applyFill="1" applyBorder="1" applyAlignment="1">
      <alignment horizontal="left" vertical="center"/>
    </xf>
    <xf numFmtId="0" fontId="10" fillId="0" borderId="0" xfId="0" applyFont="1" applyFill="1" applyBorder="1" applyAlignment="1">
      <alignment horizontal="centerContinuous"/>
    </xf>
    <xf numFmtId="0" fontId="10" fillId="0" borderId="0" xfId="0" applyFont="1" applyFill="1" applyBorder="1" applyAlignment="1"/>
    <xf numFmtId="0" fontId="10" fillId="0" borderId="0" xfId="0" applyFont="1" applyFill="1" applyBorder="1" applyAlignment="1">
      <alignment horizontal="right"/>
    </xf>
    <xf numFmtId="168" fontId="10" fillId="0" borderId="0" xfId="0" applyNumberFormat="1" applyFont="1" applyFill="1" applyBorder="1" applyAlignment="1">
      <alignment horizontal="right"/>
    </xf>
    <xf numFmtId="0" fontId="10" fillId="0" borderId="20" xfId="0" applyFont="1" applyFill="1" applyBorder="1" applyAlignment="1">
      <alignment horizontal="center"/>
    </xf>
    <xf numFmtId="1" fontId="10" fillId="0" borderId="0" xfId="0" applyNumberFormat="1" applyFont="1" applyFill="1" applyAlignment="1"/>
    <xf numFmtId="1" fontId="10" fillId="0" borderId="0" xfId="0" applyNumberFormat="1" applyFont="1" applyFill="1" applyBorder="1" applyAlignment="1"/>
    <xf numFmtId="166" fontId="10" fillId="0" borderId="0" xfId="391" applyNumberFormat="1" applyFont="1" applyFill="1" applyBorder="1" applyAlignment="1">
      <alignment horizontal="left"/>
    </xf>
    <xf numFmtId="166" fontId="10" fillId="0" borderId="0" xfId="391" applyNumberFormat="1" applyFont="1" applyFill="1" applyAlignment="1"/>
    <xf numFmtId="166" fontId="10" fillId="0" borderId="0" xfId="391" applyNumberFormat="1" applyFont="1" applyFill="1" applyBorder="1" applyAlignment="1"/>
    <xf numFmtId="2" fontId="10" fillId="0" borderId="0" xfId="0" applyNumberFormat="1" applyFont="1" applyFill="1" applyAlignment="1"/>
    <xf numFmtId="164" fontId="10" fillId="0" borderId="0" xfId="0" applyNumberFormat="1" applyFont="1" applyFill="1" applyAlignment="1">
      <alignment wrapText="1"/>
    </xf>
    <xf numFmtId="0" fontId="10" fillId="0" borderId="0" xfId="0" quotePrefix="1" applyFont="1" applyFill="1" applyAlignment="1">
      <alignment horizontal="left"/>
    </xf>
    <xf numFmtId="164" fontId="10" fillId="0" borderId="0" xfId="0" applyNumberFormat="1" applyFont="1" applyFill="1" applyAlignment="1">
      <alignment horizontal="center" wrapText="1"/>
    </xf>
    <xf numFmtId="0" fontId="12" fillId="0" borderId="0" xfId="0" applyFont="1" applyFill="1" applyAlignment="1"/>
    <xf numFmtId="0" fontId="10" fillId="0" borderId="0" xfId="0" applyFont="1" applyFill="1" applyBorder="1" applyAlignment="1">
      <alignment horizontal="left" vertical="top"/>
    </xf>
    <xf numFmtId="0" fontId="10" fillId="0" borderId="0" xfId="0" applyFont="1" applyFill="1" applyBorder="1" applyAlignment="1">
      <alignment horizontal="left" vertical="top" indent="1"/>
    </xf>
    <xf numFmtId="0" fontId="10" fillId="0" borderId="0" xfId="0" quotePrefix="1" applyFont="1" applyFill="1" applyBorder="1" applyAlignment="1">
      <alignment horizontal="left" vertical="top" indent="2"/>
    </xf>
    <xf numFmtId="0" fontId="10" fillId="0" borderId="0" xfId="0" applyFont="1" applyFill="1" applyBorder="1" applyAlignment="1">
      <alignment horizontal="left" vertical="top" indent="2"/>
    </xf>
    <xf numFmtId="0" fontId="12" fillId="0" borderId="0" xfId="0" applyFont="1" applyFill="1" applyBorder="1" applyAlignment="1">
      <alignment horizontal="left" vertical="top"/>
    </xf>
    <xf numFmtId="2" fontId="10" fillId="0" borderId="0" xfId="0" applyNumberFormat="1" applyFont="1" applyFill="1" applyBorder="1" applyAlignment="1"/>
    <xf numFmtId="164" fontId="10" fillId="0" borderId="0" xfId="0" applyNumberFormat="1" applyFont="1" applyFill="1" applyBorder="1" applyAlignment="1">
      <alignment wrapText="1"/>
    </xf>
    <xf numFmtId="0" fontId="10" fillId="0" borderId="20" xfId="0" quotePrefix="1" applyFont="1" applyFill="1" applyBorder="1" applyAlignment="1">
      <alignment horizontal="left"/>
    </xf>
    <xf numFmtId="164" fontId="10" fillId="0" borderId="20" xfId="0" applyNumberFormat="1" applyFont="1" applyFill="1" applyBorder="1" applyAlignment="1"/>
    <xf numFmtId="0" fontId="10" fillId="0" borderId="0" xfId="0" applyFont="1" applyFill="1" applyAlignment="1">
      <alignment horizontal="left"/>
    </xf>
    <xf numFmtId="0" fontId="16" fillId="0" borderId="0" xfId="787" applyFont="1" applyFill="1" applyBorder="1" applyAlignment="1"/>
    <xf numFmtId="164" fontId="12" fillId="0" borderId="0" xfId="0" applyNumberFormat="1" applyFont="1" applyFill="1" applyAlignment="1">
      <alignment horizontal="center"/>
    </xf>
    <xf numFmtId="164" fontId="11" fillId="46" borderId="20" xfId="0" applyNumberFormat="1" applyFont="1" applyFill="1" applyBorder="1" applyAlignment="1">
      <alignment horizontal="left" vertical="center"/>
    </xf>
    <xf numFmtId="164" fontId="11" fillId="46" borderId="0" xfId="0" applyNumberFormat="1" applyFont="1" applyFill="1" applyBorder="1" applyAlignment="1">
      <alignment horizontal="left" vertical="center"/>
    </xf>
    <xf numFmtId="164" fontId="12" fillId="46" borderId="0" xfId="0" applyNumberFormat="1" applyFont="1" applyFill="1" applyAlignment="1">
      <alignment horizontal="left"/>
    </xf>
    <xf numFmtId="164" fontId="10" fillId="46" borderId="0" xfId="0" applyNumberFormat="1" applyFont="1" applyFill="1" applyAlignment="1">
      <alignment horizontal="left" indent="1"/>
    </xf>
    <xf numFmtId="0" fontId="0" fillId="46" borderId="0" xfId="0" applyFill="1"/>
    <xf numFmtId="0" fontId="10" fillId="46" borderId="0" xfId="0" applyFont="1" applyFill="1" applyBorder="1" applyAlignment="1">
      <alignment horizontal="left"/>
    </xf>
    <xf numFmtId="0" fontId="10" fillId="46" borderId="0" xfId="0" applyFont="1" applyFill="1" applyAlignment="1"/>
    <xf numFmtId="0" fontId="11" fillId="0" borderId="0" xfId="0" applyFont="1"/>
    <xf numFmtId="0" fontId="10" fillId="0" borderId="20" xfId="0" applyFont="1" applyBorder="1"/>
    <xf numFmtId="164" fontId="10" fillId="0" borderId="0" xfId="0" applyNumberFormat="1" applyFont="1" applyFill="1" applyAlignment="1">
      <alignment horizontal="right"/>
    </xf>
    <xf numFmtId="0" fontId="10" fillId="0" borderId="0" xfId="0" applyFont="1" applyFill="1" applyBorder="1" applyAlignment="1">
      <alignment horizontal="left" vertical="top" wrapText="1" indent="2"/>
    </xf>
    <xf numFmtId="164" fontId="10" fillId="0" borderId="0" xfId="0" applyNumberFormat="1" applyFont="1" applyFill="1" applyAlignment="1">
      <alignment horizontal="right" vertical="center"/>
    </xf>
    <xf numFmtId="0" fontId="11" fillId="46" borderId="0" xfId="0" applyFont="1" applyFill="1" applyAlignment="1"/>
    <xf numFmtId="164" fontId="11" fillId="46" borderId="0" xfId="0" applyNumberFormat="1" applyFont="1" applyFill="1" applyAlignment="1"/>
    <xf numFmtId="164" fontId="11" fillId="46" borderId="0" xfId="0" applyNumberFormat="1" applyFont="1" applyFill="1" applyBorder="1" applyAlignment="1"/>
    <xf numFmtId="0" fontId="11" fillId="0" borderId="0" xfId="0" applyFont="1" applyFill="1" applyAlignment="1"/>
    <xf numFmtId="164" fontId="11" fillId="0" borderId="0" xfId="0" applyNumberFormat="1" applyFont="1" applyFill="1" applyAlignment="1">
      <alignment vertical="center"/>
    </xf>
    <xf numFmtId="0" fontId="11" fillId="0" borderId="0" xfId="0" applyFont="1" applyFill="1" applyBorder="1" applyAlignment="1"/>
    <xf numFmtId="1" fontId="11" fillId="0" borderId="0" xfId="0" applyNumberFormat="1" applyFont="1" applyFill="1" applyBorder="1" applyAlignment="1"/>
    <xf numFmtId="164" fontId="11" fillId="46" borderId="0" xfId="690" applyNumberFormat="1" applyFont="1" applyFill="1" applyBorder="1"/>
    <xf numFmtId="3" fontId="11" fillId="46" borderId="0" xfId="690" applyNumberFormat="1" applyFont="1" applyFill="1"/>
    <xf numFmtId="0" fontId="11" fillId="46" borderId="0" xfId="690" applyFont="1" applyFill="1" applyBorder="1"/>
    <xf numFmtId="0" fontId="10" fillId="46" borderId="0" xfId="0" quotePrefix="1" applyFont="1" applyFill="1" applyAlignment="1">
      <alignment horizontal="left" indent="1"/>
    </xf>
    <xf numFmtId="164" fontId="10" fillId="46" borderId="0" xfId="0" quotePrefix="1" applyNumberFormat="1" applyFont="1" applyFill="1" applyAlignment="1">
      <alignment horizontal="left" indent="1"/>
    </xf>
    <xf numFmtId="164" fontId="68" fillId="46" borderId="0" xfId="707" applyNumberFormat="1" applyFont="1" applyFill="1"/>
    <xf numFmtId="168" fontId="10" fillId="0" borderId="0" xfId="0" applyNumberFormat="1" applyFont="1" applyBorder="1" applyAlignment="1">
      <alignment horizontal="right"/>
    </xf>
    <xf numFmtId="0" fontId="0" fillId="46" borderId="0" xfId="0" applyFill="1" applyBorder="1"/>
    <xf numFmtId="164" fontId="10" fillId="0" borderId="0" xfId="0" applyNumberFormat="1" applyFont="1" applyFill="1" applyAlignment="1">
      <alignment vertical="center"/>
    </xf>
    <xf numFmtId="0" fontId="0" fillId="46" borderId="0" xfId="0" applyFill="1" applyBorder="1" applyAlignment="1">
      <alignment horizontal="right" vertical="center"/>
    </xf>
    <xf numFmtId="0" fontId="10" fillId="0" borderId="0" xfId="0" applyFont="1" applyFill="1" applyAlignment="1">
      <alignment horizontal="right" vertical="center"/>
    </xf>
    <xf numFmtId="164" fontId="11" fillId="46" borderId="0" xfId="786" applyNumberFormat="1" applyFont="1" applyFill="1" applyBorder="1"/>
    <xf numFmtId="164" fontId="10" fillId="46" borderId="0" xfId="786" applyNumberFormat="1" applyFill="1" applyBorder="1"/>
    <xf numFmtId="164" fontId="10" fillId="46" borderId="0" xfId="786" applyNumberFormat="1" applyFont="1" applyFill="1" applyBorder="1"/>
    <xf numFmtId="166" fontId="11" fillId="0" borderId="0" xfId="391" applyNumberFormat="1" applyFont="1"/>
    <xf numFmtId="1" fontId="10" fillId="46" borderId="0" xfId="690" applyNumberFormat="1" applyFont="1" applyFill="1" applyBorder="1"/>
    <xf numFmtId="1" fontId="11" fillId="46" borderId="0" xfId="786" applyNumberFormat="1" applyFont="1" applyFill="1" applyBorder="1"/>
    <xf numFmtId="1" fontId="10" fillId="46" borderId="0" xfId="786" applyNumberFormat="1" applyFill="1" applyBorder="1"/>
    <xf numFmtId="164" fontId="0" fillId="78" borderId="0" xfId="0" quotePrefix="1" applyNumberFormat="1" applyFill="1" applyAlignment="1">
      <alignment horizontal="left" indent="1"/>
    </xf>
    <xf numFmtId="164" fontId="10" fillId="78" borderId="0" xfId="0" applyNumberFormat="1" applyFont="1" applyFill="1" applyBorder="1" applyAlignment="1"/>
    <xf numFmtId="3" fontId="17" fillId="78" borderId="0" xfId="0" applyNumberFormat="1" applyFont="1" applyFill="1" applyAlignment="1"/>
    <xf numFmtId="164" fontId="0" fillId="78" borderId="0" xfId="0" applyNumberFormat="1" applyFill="1"/>
    <xf numFmtId="3" fontId="17" fillId="78" borderId="0" xfId="631" applyNumberFormat="1" applyFont="1" applyFill="1" applyAlignment="1"/>
    <xf numFmtId="164" fontId="0" fillId="78" borderId="0" xfId="0" applyNumberFormat="1" applyFill="1" applyAlignment="1">
      <alignment horizontal="left" indent="1"/>
    </xf>
    <xf numFmtId="164" fontId="12" fillId="78" borderId="0" xfId="0" applyNumberFormat="1" applyFont="1" applyFill="1" applyAlignment="1">
      <alignment horizontal="left"/>
    </xf>
    <xf numFmtId="164" fontId="10" fillId="78" borderId="0" xfId="0" quotePrefix="1" applyNumberFormat="1" applyFont="1" applyFill="1" applyAlignment="1">
      <alignment horizontal="center" wrapText="1"/>
    </xf>
    <xf numFmtId="164" fontId="10" fillId="78" borderId="0" xfId="0" applyNumberFormat="1" applyFont="1" applyFill="1" applyAlignment="1">
      <alignment horizontal="center" wrapText="1"/>
    </xf>
    <xf numFmtId="164" fontId="10" fillId="78" borderId="0" xfId="0" applyNumberFormat="1" applyFont="1" applyFill="1" applyAlignment="1"/>
    <xf numFmtId="164" fontId="0" fillId="78" borderId="0" xfId="0" quotePrefix="1" applyNumberFormat="1" applyFill="1" applyAlignment="1">
      <alignment horizontal="left"/>
    </xf>
    <xf numFmtId="0" fontId="10" fillId="0" borderId="0" xfId="0" applyNumberFormat="1" applyFont="1" applyBorder="1" applyAlignment="1"/>
    <xf numFmtId="165" fontId="16" fillId="78" borderId="0" xfId="787" applyNumberFormat="1" applyFont="1" applyFill="1" applyBorder="1"/>
    <xf numFmtId="4" fontId="16" fillId="78" borderId="0" xfId="787" applyNumberFormat="1" applyFont="1" applyFill="1" applyBorder="1"/>
    <xf numFmtId="164" fontId="16" fillId="78" borderId="0" xfId="787" applyNumberFormat="1" applyFont="1" applyFill="1" applyBorder="1"/>
    <xf numFmtId="2" fontId="122" fillId="0" borderId="0" xfId="580" applyNumberFormat="1" applyFont="1" applyBorder="1" applyAlignment="1">
      <alignment horizontal="right"/>
    </xf>
    <xf numFmtId="2" fontId="123" fillId="0" borderId="0" xfId="580" applyNumberFormat="1" applyFont="1" applyBorder="1" applyAlignment="1">
      <alignment horizontal="right"/>
    </xf>
    <xf numFmtId="1" fontId="0" fillId="0" borderId="0" xfId="0" applyNumberFormat="1" applyBorder="1"/>
    <xf numFmtId="164" fontId="10" fillId="78" borderId="0" xfId="0" applyNumberFormat="1" applyFont="1" applyFill="1" applyAlignment="1">
      <alignment horizontal="left" indent="1"/>
    </xf>
    <xf numFmtId="164" fontId="10" fillId="78" borderId="0" xfId="0" applyNumberFormat="1" applyFont="1" applyFill="1" applyAlignment="1">
      <alignment horizontal="center" wrapText="1"/>
    </xf>
    <xf numFmtId="164" fontId="10" fillId="78" borderId="0" xfId="0" applyNumberFormat="1" applyFont="1" applyFill="1"/>
    <xf numFmtId="4" fontId="15" fillId="78" borderId="0" xfId="588" applyNumberFormat="1" applyFont="1" applyFill="1" applyBorder="1"/>
    <xf numFmtId="0" fontId="10" fillId="78" borderId="0" xfId="0" quotePrefix="1" applyFont="1" applyFill="1" applyAlignment="1">
      <alignment horizontal="left"/>
    </xf>
    <xf numFmtId="164" fontId="0" fillId="78" borderId="20" xfId="0" applyNumberFormat="1" applyFill="1" applyBorder="1"/>
    <xf numFmtId="164" fontId="0" fillId="78" borderId="20" xfId="0" quotePrefix="1" applyNumberFormat="1" applyFill="1" applyBorder="1" applyAlignment="1">
      <alignment horizontal="left" indent="2"/>
    </xf>
    <xf numFmtId="164" fontId="0" fillId="78" borderId="0" xfId="0" quotePrefix="1" applyNumberFormat="1" applyFill="1" applyAlignment="1">
      <alignment horizontal="left" indent="3"/>
    </xf>
    <xf numFmtId="164" fontId="0" fillId="78" borderId="0" xfId="0" applyNumberFormat="1" applyFill="1" applyAlignment="1">
      <alignment horizontal="left" indent="2"/>
    </xf>
    <xf numFmtId="164" fontId="10" fillId="78" borderId="0" xfId="0" applyNumberFormat="1" applyFont="1" applyFill="1" applyBorder="1" applyAlignment="1">
      <alignment wrapText="1"/>
    </xf>
    <xf numFmtId="164" fontId="11" fillId="78" borderId="0" xfId="0" applyNumberFormat="1" applyFont="1" applyFill="1"/>
    <xf numFmtId="164" fontId="99" fillId="78" borderId="0" xfId="586" applyNumberFormat="1" applyFont="1" applyFill="1" applyBorder="1" applyAlignment="1">
      <alignment horizontal="center"/>
    </xf>
    <xf numFmtId="164" fontId="0" fillId="78" borderId="0" xfId="0" applyNumberFormat="1" applyFill="1" applyBorder="1"/>
    <xf numFmtId="4" fontId="15" fillId="78" borderId="0" xfId="589" applyNumberFormat="1" applyFont="1" applyFill="1" applyBorder="1"/>
    <xf numFmtId="4" fontId="15" fillId="78" borderId="0" xfId="593" applyNumberFormat="1" applyFont="1" applyFill="1" applyBorder="1"/>
    <xf numFmtId="0" fontId="0" fillId="78" borderId="0" xfId="0" applyFill="1" applyBorder="1"/>
    <xf numFmtId="1" fontId="100" fillId="78" borderId="0" xfId="599" applyNumberFormat="1" applyFont="1" applyFill="1" applyBorder="1" applyAlignment="1"/>
    <xf numFmtId="164" fontId="124" fillId="78" borderId="0" xfId="788" applyNumberFormat="1" applyFont="1" applyFill="1"/>
    <xf numFmtId="0" fontId="11" fillId="78" borderId="0" xfId="0" applyFont="1" applyFill="1" applyBorder="1"/>
    <xf numFmtId="0" fontId="0" fillId="78" borderId="0" xfId="0" applyFill="1"/>
    <xf numFmtId="0" fontId="8" fillId="46" borderId="0" xfId="690" applyFont="1" applyFill="1"/>
    <xf numFmtId="168" fontId="8" fillId="0" borderId="0" xfId="0" applyNumberFormat="1" applyFont="1" applyFill="1" applyBorder="1" applyAlignment="1">
      <alignment horizontal="right"/>
    </xf>
    <xf numFmtId="164" fontId="11" fillId="0" borderId="0" xfId="0" applyNumberFormat="1" applyFont="1" applyBorder="1"/>
    <xf numFmtId="0" fontId="8" fillId="46" borderId="0" xfId="0" applyFont="1" applyFill="1"/>
    <xf numFmtId="0" fontId="8" fillId="46" borderId="0" xfId="0" applyFont="1" applyFill="1" applyAlignment="1">
      <alignment horizontal="left" indent="1"/>
    </xf>
    <xf numFmtId="164" fontId="8" fillId="46" borderId="0" xfId="0" applyNumberFormat="1" applyFont="1" applyFill="1"/>
    <xf numFmtId="0" fontId="8" fillId="0" borderId="0" xfId="0" applyFont="1"/>
    <xf numFmtId="0" fontId="8" fillId="0" borderId="0" xfId="0" applyFont="1" applyAlignment="1">
      <alignment horizontal="left"/>
    </xf>
    <xf numFmtId="164" fontId="8" fillId="0" borderId="0" xfId="0" applyNumberFormat="1" applyFont="1" applyFill="1" applyAlignment="1"/>
    <xf numFmtId="0" fontId="8" fillId="0" borderId="0" xfId="0" applyFont="1" applyFill="1" applyAlignment="1"/>
    <xf numFmtId="0" fontId="8" fillId="46" borderId="0" xfId="0" quotePrefix="1" applyFont="1" applyFill="1" applyAlignment="1">
      <alignment horizontal="left"/>
    </xf>
    <xf numFmtId="164" fontId="15" fillId="78" borderId="0" xfId="0" applyNumberFormat="1" applyFont="1" applyFill="1" applyAlignment="1">
      <alignment horizontal="right"/>
    </xf>
    <xf numFmtId="164" fontId="11" fillId="78" borderId="0" xfId="0" applyNumberFormat="1" applyFont="1" applyFill="1" applyBorder="1" applyAlignment="1"/>
    <xf numFmtId="0" fontId="8" fillId="78" borderId="0" xfId="0" applyFont="1" applyFill="1" applyBorder="1"/>
    <xf numFmtId="0" fontId="8" fillId="46" borderId="0" xfId="0" applyFont="1" applyFill="1" applyAlignment="1"/>
    <xf numFmtId="0" fontId="10" fillId="46" borderId="0" xfId="690" quotePrefix="1" applyFont="1" applyFill="1" applyAlignment="1">
      <alignment horizontal="left" wrapText="1"/>
    </xf>
    <xf numFmtId="0" fontId="0" fillId="0" borderId="0" xfId="0" applyAlignment="1">
      <alignment horizontal="center" wrapText="1"/>
    </xf>
    <xf numFmtId="164" fontId="8" fillId="0" borderId="0" xfId="0" applyNumberFormat="1" applyFont="1" applyFill="1" applyAlignment="1">
      <alignment horizontal="right"/>
    </xf>
    <xf numFmtId="164" fontId="8" fillId="46" borderId="0" xfId="0" applyNumberFormat="1" applyFont="1" applyFill="1" applyAlignment="1"/>
    <xf numFmtId="164" fontId="8" fillId="0" borderId="0" xfId="0" applyNumberFormat="1" applyFont="1" applyFill="1" applyBorder="1" applyAlignment="1"/>
    <xf numFmtId="2" fontId="8" fillId="0" borderId="0" xfId="0" applyNumberFormat="1" applyFont="1" applyAlignment="1"/>
    <xf numFmtId="164" fontId="8" fillId="78" borderId="0" xfId="0" applyNumberFormat="1" applyFont="1" applyFill="1"/>
    <xf numFmtId="164" fontId="8" fillId="0" borderId="0" xfId="0" applyNumberFormat="1" applyFont="1" applyBorder="1" applyAlignment="1">
      <alignment wrapText="1"/>
    </xf>
    <xf numFmtId="1" fontId="8" fillId="0" borderId="0" xfId="0" applyNumberFormat="1" applyFont="1"/>
    <xf numFmtId="164" fontId="8" fillId="0" borderId="0" xfId="0" applyNumberFormat="1" applyFont="1" applyBorder="1" applyAlignment="1"/>
    <xf numFmtId="167" fontId="8" fillId="0" borderId="0" xfId="0" applyNumberFormat="1" applyFont="1" applyAlignment="1"/>
    <xf numFmtId="164" fontId="8" fillId="0" borderId="0" xfId="0" applyNumberFormat="1" applyFont="1" applyAlignment="1"/>
    <xf numFmtId="166" fontId="8" fillId="0" borderId="0" xfId="391" applyNumberFormat="1" applyFont="1"/>
    <xf numFmtId="0" fontId="10" fillId="0" borderId="20" xfId="0" applyFont="1" applyFill="1" applyBorder="1" applyAlignment="1">
      <alignment horizontal="center" vertical="center"/>
    </xf>
    <xf numFmtId="1" fontId="0" fillId="0" borderId="0" xfId="0" applyNumberFormat="1"/>
    <xf numFmtId="165" fontId="15" fillId="78" borderId="0" xfId="1140" applyNumberFormat="1" applyFont="1" applyFill="1" applyBorder="1"/>
    <xf numFmtId="4" fontId="15" fillId="78" borderId="0" xfId="1116" applyNumberFormat="1" applyFont="1" applyFill="1" applyBorder="1"/>
    <xf numFmtId="188" fontId="129" fillId="78" borderId="0" xfId="1078" applyNumberFormat="1" applyFont="1" applyFill="1" applyBorder="1"/>
    <xf numFmtId="165" fontId="15" fillId="78" borderId="0" xfId="1140" applyNumberFormat="1" applyFont="1" applyFill="1"/>
    <xf numFmtId="165" fontId="15" fillId="0" borderId="0" xfId="1140" applyNumberFormat="1" applyFont="1"/>
    <xf numFmtId="166" fontId="10" fillId="0" borderId="0" xfId="391" applyNumberFormat="1" applyFont="1" applyFill="1" applyAlignment="1">
      <alignment horizontal="right"/>
    </xf>
    <xf numFmtId="1" fontId="8" fillId="46" borderId="0" xfId="690" applyNumberFormat="1" applyFont="1" applyFill="1"/>
    <xf numFmtId="164" fontId="8" fillId="0" borderId="0" xfId="0" applyNumberFormat="1" applyFont="1" applyFill="1" applyAlignment="1">
      <alignment wrapText="1"/>
    </xf>
    <xf numFmtId="164" fontId="100" fillId="0" borderId="0" xfId="0" applyNumberFormat="1" applyFont="1" applyFill="1" applyBorder="1" applyAlignment="1"/>
    <xf numFmtId="164" fontId="8" fillId="46" borderId="0" xfId="0" applyNumberFormat="1" applyFont="1" applyFill="1" applyAlignment="1">
      <alignment horizontal="right"/>
    </xf>
    <xf numFmtId="164" fontId="0" fillId="46" borderId="0" xfId="0" applyNumberFormat="1" applyFill="1" applyAlignment="1">
      <alignment horizontal="right"/>
    </xf>
    <xf numFmtId="164" fontId="8" fillId="46" borderId="0" xfId="690" applyNumberFormat="1" applyFont="1" applyFill="1"/>
    <xf numFmtId="164" fontId="8" fillId="46" borderId="0" xfId="786" applyNumberFormat="1" applyFont="1" applyFill="1" applyBorder="1"/>
    <xf numFmtId="3" fontId="8" fillId="46" borderId="0" xfId="690" applyNumberFormat="1" applyFont="1" applyFill="1"/>
    <xf numFmtId="0" fontId="8" fillId="0" borderId="0" xfId="0" applyFont="1" applyFill="1" applyBorder="1" applyAlignment="1">
      <alignment horizontal="left"/>
    </xf>
    <xf numFmtId="0" fontId="8" fillId="0" borderId="0" xfId="0" applyFont="1" applyFill="1" applyAlignment="1">
      <alignment horizontal="left"/>
    </xf>
    <xf numFmtId="0" fontId="8" fillId="46" borderId="0" xfId="690" applyFont="1" applyFill="1" applyAlignment="1">
      <alignment horizontal="left" indent="2"/>
    </xf>
    <xf numFmtId="2" fontId="8" fillId="46" borderId="0" xfId="0" applyNumberFormat="1" applyFont="1" applyFill="1"/>
    <xf numFmtId="0" fontId="8" fillId="0" borderId="0" xfId="0" applyFont="1" applyFill="1" applyBorder="1" applyAlignment="1">
      <alignment horizontal="left" vertical="top"/>
    </xf>
    <xf numFmtId="1" fontId="8" fillId="0" borderId="0" xfId="0" applyNumberFormat="1" applyFont="1" applyFill="1" applyAlignment="1"/>
    <xf numFmtId="0" fontId="8" fillId="46" borderId="0" xfId="690" applyFont="1" applyFill="1" applyAlignment="1">
      <alignment horizontal="left" indent="1"/>
    </xf>
    <xf numFmtId="190" fontId="0" fillId="78" borderId="0" xfId="0" applyNumberFormat="1" applyFill="1"/>
    <xf numFmtId="191" fontId="146" fillId="78" borderId="0" xfId="631" applyNumberFormat="1" applyFont="1" applyFill="1" applyBorder="1"/>
    <xf numFmtId="186" fontId="147" fillId="78" borderId="0" xfId="6227" applyNumberFormat="1" applyFont="1" applyFill="1" applyBorder="1" applyAlignment="1" applyProtection="1">
      <alignment horizontal="left" wrapText="1"/>
      <protection locked="0"/>
    </xf>
    <xf numFmtId="190" fontId="146" fillId="78" borderId="0" xfId="631" applyNumberFormat="1" applyFont="1" applyFill="1" applyBorder="1"/>
    <xf numFmtId="165" fontId="8" fillId="46" borderId="0" xfId="690" applyNumberFormat="1" applyFont="1" applyFill="1"/>
    <xf numFmtId="165" fontId="11" fillId="46" borderId="0" xfId="690" applyNumberFormat="1" applyFont="1" applyFill="1"/>
    <xf numFmtId="165" fontId="8" fillId="46" borderId="0" xfId="786" applyNumberFormat="1" applyFont="1" applyFill="1" applyBorder="1"/>
    <xf numFmtId="165" fontId="10" fillId="46" borderId="0" xfId="786" applyNumberFormat="1" applyFont="1" applyFill="1" applyBorder="1"/>
    <xf numFmtId="164" fontId="11" fillId="78" borderId="0" xfId="0" applyNumberFormat="1" applyFont="1" applyFill="1" applyBorder="1"/>
    <xf numFmtId="165" fontId="10" fillId="0" borderId="0" xfId="0" applyNumberFormat="1" applyFont="1" applyFill="1" applyAlignment="1"/>
    <xf numFmtId="165" fontId="8" fillId="0" borderId="0" xfId="0" applyNumberFormat="1" applyFont="1" applyFill="1" applyBorder="1" applyAlignment="1"/>
    <xf numFmtId="165" fontId="8" fillId="0" borderId="0" xfId="0" applyNumberFormat="1" applyFont="1" applyFill="1" applyAlignment="1"/>
    <xf numFmtId="165" fontId="10" fillId="0" borderId="0" xfId="0" applyNumberFormat="1" applyFont="1" applyFill="1" applyAlignment="1">
      <alignment horizontal="right"/>
    </xf>
    <xf numFmtId="165" fontId="8" fillId="0" borderId="0" xfId="0" applyNumberFormat="1" applyFont="1" applyFill="1" applyAlignment="1">
      <alignment horizontal="right"/>
    </xf>
    <xf numFmtId="165" fontId="10" fillId="0" borderId="0" xfId="391" applyNumberFormat="1" applyFont="1" applyFill="1" applyAlignment="1">
      <alignment horizontal="right"/>
    </xf>
    <xf numFmtId="165" fontId="10" fillId="0" borderId="0" xfId="391" applyNumberFormat="1" applyFont="1" applyFill="1" applyAlignment="1"/>
    <xf numFmtId="165" fontId="8" fillId="46" borderId="0" xfId="0" applyNumberFormat="1" applyFont="1" applyFill="1" applyAlignment="1"/>
    <xf numFmtId="165" fontId="10" fillId="46" borderId="0" xfId="0" applyNumberFormat="1" applyFont="1" applyFill="1" applyAlignment="1"/>
    <xf numFmtId="165" fontId="11" fillId="46" borderId="0" xfId="0" applyNumberFormat="1" applyFont="1" applyFill="1" applyAlignment="1"/>
    <xf numFmtId="165" fontId="10" fillId="0" borderId="0" xfId="0" applyNumberFormat="1" applyFont="1" applyFill="1" applyAlignment="1">
      <alignment wrapText="1"/>
    </xf>
    <xf numFmtId="4" fontId="10" fillId="0" borderId="0" xfId="0" applyNumberFormat="1" applyFont="1" applyFill="1" applyBorder="1" applyAlignment="1"/>
    <xf numFmtId="4" fontId="8" fillId="0" borderId="0" xfId="0" applyNumberFormat="1" applyFont="1" applyFill="1" applyBorder="1" applyAlignment="1"/>
    <xf numFmtId="0" fontId="8" fillId="46" borderId="0" xfId="690" quotePrefix="1" applyFont="1" applyFill="1" applyAlignment="1">
      <alignment wrapText="1"/>
    </xf>
    <xf numFmtId="0" fontId="166" fillId="0" borderId="0" xfId="0" quotePrefix="1" applyFont="1"/>
    <xf numFmtId="0" fontId="8" fillId="46" borderId="0" xfId="0" applyFont="1" applyFill="1" applyBorder="1" applyAlignment="1">
      <alignment horizontal="left"/>
    </xf>
    <xf numFmtId="2" fontId="8" fillId="0" borderId="0" xfId="0" applyNumberFormat="1" applyFont="1" applyFill="1" applyAlignment="1"/>
    <xf numFmtId="165" fontId="8" fillId="78" borderId="0" xfId="0" applyNumberFormat="1" applyFont="1" applyFill="1" applyAlignment="1"/>
    <xf numFmtId="0" fontId="8" fillId="0" borderId="0" xfId="0" applyFont="1" applyFill="1" applyAlignment="1">
      <alignment horizontal="right"/>
    </xf>
    <xf numFmtId="165" fontId="11" fillId="0" borderId="0" xfId="0" applyNumberFormat="1" applyFont="1" applyFill="1" applyAlignment="1"/>
    <xf numFmtId="164" fontId="10" fillId="78" borderId="0" xfId="0" applyNumberFormat="1" applyFont="1" applyFill="1" applyAlignment="1">
      <alignment horizontal="center" wrapText="1"/>
    </xf>
    <xf numFmtId="0" fontId="11" fillId="78" borderId="0" xfId="0" applyFont="1" applyFill="1"/>
    <xf numFmtId="0" fontId="11" fillId="46" borderId="0" xfId="0" applyFont="1" applyFill="1"/>
    <xf numFmtId="167" fontId="11" fillId="46" borderId="0" xfId="0" applyNumberFormat="1" applyFont="1" applyFill="1" applyAlignment="1"/>
    <xf numFmtId="0" fontId="8" fillId="46" borderId="0" xfId="0" applyFont="1" applyFill="1" applyAlignment="1">
      <alignment horizontal="left"/>
    </xf>
    <xf numFmtId="165" fontId="10" fillId="78" borderId="0" xfId="0" applyNumberFormat="1" applyFont="1" applyFill="1" applyAlignment="1"/>
    <xf numFmtId="0" fontId="10" fillId="46" borderId="20" xfId="690" applyFont="1" applyFill="1" applyBorder="1" applyAlignment="1">
      <alignment horizontal="left"/>
    </xf>
    <xf numFmtId="164" fontId="11" fillId="46" borderId="20" xfId="690" applyNumberFormat="1" applyFont="1" applyFill="1" applyBorder="1"/>
    <xf numFmtId="164" fontId="11" fillId="46" borderId="20" xfId="396" applyNumberFormat="1" applyFont="1" applyFill="1" applyBorder="1"/>
    <xf numFmtId="0" fontId="11" fillId="46" borderId="20" xfId="690" applyFont="1" applyFill="1" applyBorder="1"/>
    <xf numFmtId="164" fontId="10" fillId="46" borderId="20" xfId="396" applyNumberFormat="1" applyFont="1" applyFill="1" applyBorder="1"/>
    <xf numFmtId="0" fontId="8" fillId="0" borderId="0" xfId="0" quotePrefix="1" applyFont="1" applyFill="1" applyAlignment="1">
      <alignment horizontal="left" wrapText="1"/>
    </xf>
    <xf numFmtId="0" fontId="18" fillId="0" borderId="0" xfId="0" applyNumberFormat="1" applyFont="1" applyFill="1" applyAlignment="1">
      <alignment horizontal="center" wrapText="1"/>
    </xf>
    <xf numFmtId="0" fontId="16" fillId="0" borderId="0" xfId="0" applyNumberFormat="1" applyFont="1" applyFill="1" applyAlignment="1">
      <alignment horizontal="center" wrapText="1"/>
    </xf>
    <xf numFmtId="164" fontId="10" fillId="46" borderId="0" xfId="0" applyNumberFormat="1" applyFont="1" applyFill="1" applyAlignment="1">
      <alignment horizontal="center"/>
    </xf>
    <xf numFmtId="164" fontId="8" fillId="0" borderId="0" xfId="0" applyNumberFormat="1" applyFont="1" applyFill="1" applyAlignment="1">
      <alignment horizontal="center" wrapText="1"/>
    </xf>
    <xf numFmtId="164" fontId="8" fillId="0" borderId="0" xfId="0" applyNumberFormat="1" applyFont="1" applyFill="1" applyAlignment="1">
      <alignment horizontal="center"/>
    </xf>
    <xf numFmtId="164" fontId="10" fillId="78" borderId="0" xfId="0" quotePrefix="1" applyNumberFormat="1" applyFont="1" applyFill="1" applyBorder="1" applyAlignment="1">
      <alignment horizontal="center"/>
    </xf>
    <xf numFmtId="0" fontId="18" fillId="46" borderId="0" xfId="0" applyNumberFormat="1" applyFont="1" applyFill="1" applyAlignment="1">
      <alignment horizontal="center" wrapText="1"/>
    </xf>
    <xf numFmtId="164" fontId="10" fillId="46" borderId="0" xfId="0" quotePrefix="1" applyNumberFormat="1" applyFont="1" applyFill="1" applyBorder="1" applyAlignment="1">
      <alignment horizontal="center"/>
    </xf>
    <xf numFmtId="164" fontId="10" fillId="78" borderId="0" xfId="0" quotePrefix="1" applyNumberFormat="1" applyFont="1" applyFill="1" applyAlignment="1">
      <alignment horizontal="center" wrapText="1"/>
    </xf>
    <xf numFmtId="164" fontId="10" fillId="78" borderId="0" xfId="0" applyNumberFormat="1" applyFont="1" applyFill="1" applyAlignment="1">
      <alignment horizontal="center" wrapText="1"/>
    </xf>
    <xf numFmtId="0" fontId="10" fillId="46" borderId="0" xfId="690" applyFont="1" applyFill="1" applyBorder="1" applyAlignment="1">
      <alignment horizontal="center"/>
    </xf>
    <xf numFmtId="0" fontId="18" fillId="46" borderId="0" xfId="690" applyNumberFormat="1" applyFont="1" applyFill="1" applyAlignment="1">
      <alignment horizontal="center" wrapText="1"/>
    </xf>
    <xf numFmtId="0" fontId="16" fillId="46" borderId="0" xfId="690" applyNumberFormat="1" applyFont="1" applyFill="1" applyAlignment="1">
      <alignment horizontal="center" wrapText="1"/>
    </xf>
    <xf numFmtId="164" fontId="10" fillId="46" borderId="0" xfId="690" quotePrefix="1" applyNumberFormat="1" applyFont="1" applyFill="1" applyAlignment="1">
      <alignment horizontal="center" wrapText="1"/>
    </xf>
    <xf numFmtId="164" fontId="8" fillId="46" borderId="0" xfId="690" applyNumberFormat="1" applyFont="1" applyFill="1" applyAlignment="1">
      <alignment horizontal="center" wrapText="1"/>
    </xf>
    <xf numFmtId="0" fontId="8" fillId="46" borderId="0" xfId="690" quotePrefix="1" applyFont="1" applyFill="1" applyAlignment="1">
      <alignment horizontal="left" wrapText="1"/>
    </xf>
    <xf numFmtId="0" fontId="8" fillId="46" borderId="0" xfId="690" applyFont="1" applyFill="1" applyAlignment="1">
      <alignment horizontal="left" wrapText="1"/>
    </xf>
    <xf numFmtId="0" fontId="18" fillId="0" borderId="0" xfId="0" applyNumberFormat="1" applyFont="1" applyAlignment="1">
      <alignment horizontal="center" wrapText="1"/>
    </xf>
    <xf numFmtId="0" fontId="10" fillId="0" borderId="0" xfId="0" applyFont="1" applyBorder="1" applyAlignment="1">
      <alignment horizontal="center" wrapText="1"/>
    </xf>
    <xf numFmtId="0" fontId="8" fillId="0" borderId="0" xfId="0" applyFont="1" applyBorder="1" applyAlignment="1">
      <alignment horizontal="center" wrapText="1"/>
    </xf>
    <xf numFmtId="164" fontId="10" fillId="0" borderId="0" xfId="0" quotePrefix="1" applyNumberFormat="1" applyFont="1" applyAlignment="1">
      <alignment horizontal="center" wrapText="1"/>
    </xf>
  </cellXfs>
  <cellStyles count="11045">
    <cellStyle name=" Verticals" xfId="1"/>
    <cellStyle name=" Verticals 2" xfId="2"/>
    <cellStyle name=" Verticals 3" xfId="3"/>
    <cellStyle name="????" xfId="4"/>
    <cellStyle name="???? 2" xfId="5"/>
    <cellStyle name="???? 3" xfId="6"/>
    <cellStyle name="?????" xfId="7"/>
    <cellStyle name="????? 2" xfId="8"/>
    <cellStyle name="????? 3" xfId="9"/>
    <cellStyle name="????????" xfId="10"/>
    <cellStyle name="???????? 2" xfId="11"/>
    <cellStyle name="???????? 3" xfId="12"/>
    <cellStyle name="?????????????" xfId="13"/>
    <cellStyle name="??????????_BOPENGC" xfId="14"/>
    <cellStyle name="?????????1" xfId="15"/>
    <cellStyle name="?????????1 2" xfId="16"/>
    <cellStyle name="?????????1 3" xfId="17"/>
    <cellStyle name="?????????2" xfId="18"/>
    <cellStyle name="?????????2 2" xfId="19"/>
    <cellStyle name="?????????2 3" xfId="20"/>
    <cellStyle name="????????_Book1" xfId="21"/>
    <cellStyle name="???????_BOPENGC" xfId="22"/>
    <cellStyle name="?????_IMF_May_23_08" xfId="23"/>
    <cellStyle name="????_IMF_May_23_08" xfId="24"/>
    <cellStyle name="_1_²ÜºÈÆø" xfId="25"/>
    <cellStyle name="_1_²ÜºÈÆø 2" xfId="26"/>
    <cellStyle name="_1_²ÜºÈÆø 3" xfId="27"/>
    <cellStyle name="1 indent" xfId="28"/>
    <cellStyle name="1 indent 2" xfId="29"/>
    <cellStyle name="2 indents" xfId="30"/>
    <cellStyle name="2 indents 2" xfId="31"/>
    <cellStyle name="20% - Accent1" xfId="10978" builtinId="30" customBuiltin="1"/>
    <cellStyle name="20% - Accent1 2" xfId="32"/>
    <cellStyle name="20% - Accent1 2 2" xfId="33"/>
    <cellStyle name="20% - Accent1 2 2 2" xfId="34"/>
    <cellStyle name="20% - Accent1 2 2 2 2" xfId="1783"/>
    <cellStyle name="20% - Accent1 2 2 2 3" xfId="1247"/>
    <cellStyle name="20% - Accent1 2 2 3" xfId="1782"/>
    <cellStyle name="20% - Accent1 2 3" xfId="35"/>
    <cellStyle name="20% - Accent1 2 3 2" xfId="1784"/>
    <cellStyle name="20% - Accent1 2 3 2 2" xfId="3036"/>
    <cellStyle name="20% - Accent1 2 3 2 2 2" xfId="7475"/>
    <cellStyle name="20% - Accent1 2 3 2 3" xfId="6624"/>
    <cellStyle name="20% - Accent1 2 3 3" xfId="1246"/>
    <cellStyle name="20% - Accent1 2 4" xfId="2648"/>
    <cellStyle name="20% - Accent1 2 4 2" xfId="7093"/>
    <cellStyle name="20% - Accent1 2 5" xfId="1233"/>
    <cellStyle name="20% - Accent1 2 6" xfId="6249"/>
    <cellStyle name="20% - Accent1 3" xfId="36"/>
    <cellStyle name="20% - Accent1 3 2" xfId="931"/>
    <cellStyle name="20% - Accent1 3 2 2" xfId="3037"/>
    <cellStyle name="20% - Accent1 3 2 2 2" xfId="7476"/>
    <cellStyle name="20% - Accent1 3 2 3" xfId="1785"/>
    <cellStyle name="20% - Accent1 3 2 4" xfId="6625"/>
    <cellStyle name="20% - Accent1 3 3" xfId="948"/>
    <cellStyle name="20% - Accent1 3 3 2" xfId="2649"/>
    <cellStyle name="20% - Accent1 3 3 3" xfId="7094"/>
    <cellStyle name="20% - Accent1 3 4" xfId="1073"/>
    <cellStyle name="20% - Accent1 3 5" xfId="1111"/>
    <cellStyle name="20% - Accent1 3 6" xfId="1234"/>
    <cellStyle name="20% - Accent1 3 7" xfId="6251"/>
    <cellStyle name="20% - Accent1 4" xfId="37"/>
    <cellStyle name="20% - Accent1 4 2" xfId="1786"/>
    <cellStyle name="20% - Accent1 4 2 2" xfId="3038"/>
    <cellStyle name="20% - Accent1 4 2 2 2" xfId="7477"/>
    <cellStyle name="20% - Accent1 4 2 3" xfId="6626"/>
    <cellStyle name="20% - Accent1 4 3" xfId="2653"/>
    <cellStyle name="20% - Accent1 4 3 2" xfId="7098"/>
    <cellStyle name="20% - Accent1 4 4" xfId="1238"/>
    <cellStyle name="20% - Accent1 4 5" xfId="6255"/>
    <cellStyle name="20% - Accent1 5" xfId="38"/>
    <cellStyle name="20% - Accent1 5 2" xfId="1787"/>
    <cellStyle name="20% - Accent1 5 3" xfId="1961"/>
    <cellStyle name="20% - Accent1 6" xfId="39"/>
    <cellStyle name="20% - Accent1 7" xfId="3803"/>
    <cellStyle name="20% - Accent1 7 2" xfId="8192"/>
    <cellStyle name="20% - Accent1 8" xfId="4189"/>
    <cellStyle name="20% - Accent1 8 2" xfId="8550"/>
    <cellStyle name="20% - Accent1 9" xfId="5225"/>
    <cellStyle name="20% - Accent1 9 2" xfId="9525"/>
    <cellStyle name="20% - Accent2" xfId="10982" builtinId="34" customBuiltin="1"/>
    <cellStyle name="20% - Accent2 2" xfId="40"/>
    <cellStyle name="20% - Accent2 2 2" xfId="41"/>
    <cellStyle name="20% - Accent2 2 2 2" xfId="1144"/>
    <cellStyle name="20% - Accent2 2 2 2 2" xfId="1788"/>
    <cellStyle name="20% - Accent2 2 2 3" xfId="1249"/>
    <cellStyle name="20% - Accent2 2 3" xfId="42"/>
    <cellStyle name="20% - Accent2 2 3 2" xfId="1789"/>
    <cellStyle name="20% - Accent2 2 3 3" xfId="1248"/>
    <cellStyle name="20% - Accent2 3" xfId="43"/>
    <cellStyle name="20% - Accent2 3 2" xfId="1074"/>
    <cellStyle name="20% - Accent2 3 2 2" xfId="1790"/>
    <cellStyle name="20% - Accent2 3 3" xfId="1960"/>
    <cellStyle name="20% - Accent2 4" xfId="44"/>
    <cellStyle name="20% - Accent2 5" xfId="5427"/>
    <cellStyle name="20% - Accent3" xfId="10986" builtinId="38" customBuiltin="1"/>
    <cellStyle name="20% - Accent3 2" xfId="45"/>
    <cellStyle name="20% - Accent3 2 2" xfId="46"/>
    <cellStyle name="20% - Accent3 2 2 2" xfId="1145"/>
    <cellStyle name="20% - Accent3 2 2 2 2" xfId="1909"/>
    <cellStyle name="20% - Accent3 2 2 3" xfId="1251"/>
    <cellStyle name="20% - Accent3 2 3" xfId="47"/>
    <cellStyle name="20% - Accent3 2 3 2" xfId="1791"/>
    <cellStyle name="20% - Accent3 2 3 3" xfId="1250"/>
    <cellStyle name="20% - Accent3 3" xfId="48"/>
    <cellStyle name="20% - Accent3 3 2" xfId="1075"/>
    <cellStyle name="20% - Accent3 3 2 2" xfId="1910"/>
    <cellStyle name="20% - Accent3 3 3" xfId="1959"/>
    <cellStyle name="20% - Accent3 4" xfId="49"/>
    <cellStyle name="20% - Accent3 5" xfId="5428"/>
    <cellStyle name="20% - Accent4" xfId="10990" builtinId="42" customBuiltin="1"/>
    <cellStyle name="20% - Accent4 2" xfId="50"/>
    <cellStyle name="20% - Accent4 2 2" xfId="51"/>
    <cellStyle name="20% - Accent4 2 2 2" xfId="1146"/>
    <cellStyle name="20% - Accent4 2 2 2 2" xfId="1792"/>
    <cellStyle name="20% - Accent4 2 2 3" xfId="1253"/>
    <cellStyle name="20% - Accent4 2 3" xfId="52"/>
    <cellStyle name="20% - Accent4 2 3 2" xfId="1911"/>
    <cellStyle name="20% - Accent4 2 3 3" xfId="1252"/>
    <cellStyle name="20% - Accent4 3" xfId="53"/>
    <cellStyle name="20% - Accent4 3 2" xfId="1076"/>
    <cellStyle name="20% - Accent4 3 2 2" xfId="1793"/>
    <cellStyle name="20% - Accent4 3 3" xfId="1958"/>
    <cellStyle name="20% - Accent4 4" xfId="54"/>
    <cellStyle name="20% - Accent4 5" xfId="5429"/>
    <cellStyle name="20% - Accent5" xfId="10994" builtinId="46" customBuiltin="1"/>
    <cellStyle name="20% - Accent5 2" xfId="55"/>
    <cellStyle name="20% - Accent5 2 2" xfId="56"/>
    <cellStyle name="20% - Accent5 2 2 2" xfId="1147"/>
    <cellStyle name="20% - Accent5 2 2 2 2" xfId="1912"/>
    <cellStyle name="20% - Accent5 2 2 3" xfId="1255"/>
    <cellStyle name="20% - Accent5 2 3" xfId="57"/>
    <cellStyle name="20% - Accent5 2 3 2" xfId="1794"/>
    <cellStyle name="20% - Accent5 2 3 3" xfId="1254"/>
    <cellStyle name="20% - Accent5 3" xfId="58"/>
    <cellStyle name="20% - Accent5 3 2" xfId="1913"/>
    <cellStyle name="20% - Accent5 3 3" xfId="1957"/>
    <cellStyle name="20% - Accent5 4" xfId="5430"/>
    <cellStyle name="20% - Accent6" xfId="10998" builtinId="50" customBuiltin="1"/>
    <cellStyle name="20% - Accent6 2" xfId="59"/>
    <cellStyle name="20% - Accent6 2 2" xfId="60"/>
    <cellStyle name="20% - Accent6 2 2 2" xfId="1148"/>
    <cellStyle name="20% - Accent6 2 2 2 2" xfId="1914"/>
    <cellStyle name="20% - Accent6 2 2 3" xfId="1257"/>
    <cellStyle name="20% - Accent6 2 3" xfId="61"/>
    <cellStyle name="20% - Accent6 2 3 2" xfId="1795"/>
    <cellStyle name="20% - Accent6 2 3 3" xfId="1256"/>
    <cellStyle name="20% - Accent6 3" xfId="62"/>
    <cellStyle name="20% - Accent6 3 2" xfId="1077"/>
    <cellStyle name="20% - Accent6 3 2 2" xfId="1915"/>
    <cellStyle name="20% - Accent6 3 3" xfId="1956"/>
    <cellStyle name="20% - Accent6 4" xfId="63"/>
    <cellStyle name="20% - Accent6 5" xfId="5431"/>
    <cellStyle name="3 indents" xfId="64"/>
    <cellStyle name="3 indents 2" xfId="65"/>
    <cellStyle name="4 indents" xfId="66"/>
    <cellStyle name="4 indents 2" xfId="67"/>
    <cellStyle name="40% - Accent1" xfId="10979" builtinId="31" customBuiltin="1"/>
    <cellStyle name="40% - Accent1 2" xfId="68"/>
    <cellStyle name="40% - Accent1 2 2" xfId="69"/>
    <cellStyle name="40% - Accent1 2 2 2" xfId="1149"/>
    <cellStyle name="40% - Accent1 2 2 2 2" xfId="1796"/>
    <cellStyle name="40% - Accent1 2 2 3" xfId="1259"/>
    <cellStyle name="40% - Accent1 2 3" xfId="70"/>
    <cellStyle name="40% - Accent1 2 3 2" xfId="1797"/>
    <cellStyle name="40% - Accent1 2 3 3" xfId="1258"/>
    <cellStyle name="40% - Accent1 3" xfId="71"/>
    <cellStyle name="40% - Accent1 3 2" xfId="1079"/>
    <cellStyle name="40% - Accent1 3 2 2" xfId="1808"/>
    <cellStyle name="40% - Accent1 3 3" xfId="1955"/>
    <cellStyle name="40% - Accent1 4" xfId="72"/>
    <cellStyle name="40% - Accent1 5" xfId="5432"/>
    <cellStyle name="40% - Accent2" xfId="10983" builtinId="35" customBuiltin="1"/>
    <cellStyle name="40% - Accent2 2" xfId="73"/>
    <cellStyle name="40% - Accent2 2 2" xfId="74"/>
    <cellStyle name="40% - Accent2 2 2 2" xfId="1150"/>
    <cellStyle name="40% - Accent2 2 2 2 2" xfId="1817"/>
    <cellStyle name="40% - Accent2 2 2 3" xfId="1261"/>
    <cellStyle name="40% - Accent2 2 3" xfId="75"/>
    <cellStyle name="40% - Accent2 2 3 2" xfId="1818"/>
    <cellStyle name="40% - Accent2 2 3 3" xfId="1260"/>
    <cellStyle name="40% - Accent2 3" xfId="76"/>
    <cellStyle name="40% - Accent2 3 2" xfId="1819"/>
    <cellStyle name="40% - Accent2 3 3" xfId="1954"/>
    <cellStyle name="40% - Accent2 4" xfId="5433"/>
    <cellStyle name="40% - Accent3" xfId="10987" builtinId="39" customBuiltin="1"/>
    <cellStyle name="40% - Accent3 2" xfId="77"/>
    <cellStyle name="40% - Accent3 2 2" xfId="78"/>
    <cellStyle name="40% - Accent3 2 2 2" xfId="1151"/>
    <cellStyle name="40% - Accent3 2 2 2 2" xfId="1820"/>
    <cellStyle name="40% - Accent3 2 2 3" xfId="1263"/>
    <cellStyle name="40% - Accent3 2 3" xfId="79"/>
    <cellStyle name="40% - Accent3 2 3 2" xfId="1821"/>
    <cellStyle name="40% - Accent3 2 3 3" xfId="1262"/>
    <cellStyle name="40% - Accent3 3" xfId="80"/>
    <cellStyle name="40% - Accent3 3 2" xfId="1080"/>
    <cellStyle name="40% - Accent3 3 2 2" xfId="1822"/>
    <cellStyle name="40% - Accent3 3 3" xfId="1953"/>
    <cellStyle name="40% - Accent3 4" xfId="81"/>
    <cellStyle name="40% - Accent3 5" xfId="5434"/>
    <cellStyle name="40% - Accent4" xfId="10991" builtinId="43" customBuiltin="1"/>
    <cellStyle name="40% - Accent4 2" xfId="82"/>
    <cellStyle name="40% - Accent4 2 2" xfId="83"/>
    <cellStyle name="40% - Accent4 2 2 2" xfId="1152"/>
    <cellStyle name="40% - Accent4 2 2 2 2" xfId="1823"/>
    <cellStyle name="40% - Accent4 2 2 3" xfId="1265"/>
    <cellStyle name="40% - Accent4 2 3" xfId="84"/>
    <cellStyle name="40% - Accent4 2 3 2" xfId="1824"/>
    <cellStyle name="40% - Accent4 2 3 3" xfId="1264"/>
    <cellStyle name="40% - Accent4 3" xfId="85"/>
    <cellStyle name="40% - Accent4 3 2" xfId="1081"/>
    <cellStyle name="40% - Accent4 3 2 2" xfId="1825"/>
    <cellStyle name="40% - Accent4 3 3" xfId="1952"/>
    <cellStyle name="40% - Accent4 4" xfId="86"/>
    <cellStyle name="40% - Accent4 5" xfId="5435"/>
    <cellStyle name="40% - Accent5" xfId="10995" builtinId="47" customBuiltin="1"/>
    <cellStyle name="40% - Accent5 2" xfId="87"/>
    <cellStyle name="40% - Accent5 2 2" xfId="88"/>
    <cellStyle name="40% - Accent5 2 2 2" xfId="1153"/>
    <cellStyle name="40% - Accent5 2 2 2 2" xfId="1826"/>
    <cellStyle name="40% - Accent5 2 2 3" xfId="1267"/>
    <cellStyle name="40% - Accent5 2 3" xfId="89"/>
    <cellStyle name="40% - Accent5 2 3 2" xfId="1827"/>
    <cellStyle name="40% - Accent5 2 3 3" xfId="1266"/>
    <cellStyle name="40% - Accent5 3" xfId="90"/>
    <cellStyle name="40% - Accent5 3 2" xfId="1082"/>
    <cellStyle name="40% - Accent5 3 2 2" xfId="1828"/>
    <cellStyle name="40% - Accent5 3 3" xfId="1951"/>
    <cellStyle name="40% - Accent5 4" xfId="91"/>
    <cellStyle name="40% - Accent5 5" xfId="5436"/>
    <cellStyle name="40% - Accent6" xfId="10999" builtinId="51" customBuiltin="1"/>
    <cellStyle name="40% - Accent6 2" xfId="92"/>
    <cellStyle name="40% - Accent6 2 2" xfId="93"/>
    <cellStyle name="40% - Accent6 2 2 2" xfId="1154"/>
    <cellStyle name="40% - Accent6 2 2 2 2" xfId="1829"/>
    <cellStyle name="40% - Accent6 2 2 3" xfId="1269"/>
    <cellStyle name="40% - Accent6 2 3" xfId="94"/>
    <cellStyle name="40% - Accent6 2 3 2" xfId="1830"/>
    <cellStyle name="40% - Accent6 2 3 3" xfId="1268"/>
    <cellStyle name="40% - Accent6 3" xfId="95"/>
    <cellStyle name="40% - Accent6 3 2" xfId="1083"/>
    <cellStyle name="40% - Accent6 3 2 2" xfId="1831"/>
    <cellStyle name="40% - Accent6 3 3" xfId="1950"/>
    <cellStyle name="40% - Accent6 4" xfId="96"/>
    <cellStyle name="40% - Accent6 5" xfId="5437"/>
    <cellStyle name="5 indents" xfId="97"/>
    <cellStyle name="60% - Accent1" xfId="10980" builtinId="32" customBuiltin="1"/>
    <cellStyle name="60% - Accent1 2" xfId="98"/>
    <cellStyle name="60% - Accent1 2 2" xfId="99"/>
    <cellStyle name="60% - Accent1 2 2 2" xfId="1155"/>
    <cellStyle name="60% - Accent1 2 2 2 2" xfId="1832"/>
    <cellStyle name="60% - Accent1 2 2 3" xfId="1270"/>
    <cellStyle name="60% - Accent1 2 3" xfId="100"/>
    <cellStyle name="60% - Accent1 3" xfId="101"/>
    <cellStyle name="60% - Accent1 3 2" xfId="1084"/>
    <cellStyle name="60% - Accent1 3 2 2" xfId="1833"/>
    <cellStyle name="60% - Accent1 3 3" xfId="1949"/>
    <cellStyle name="60% - Accent1 4" xfId="102"/>
    <cellStyle name="60% - Accent1 5" xfId="5438"/>
    <cellStyle name="60% - Accent2" xfId="10984" builtinId="36" customBuiltin="1"/>
    <cellStyle name="60% - Accent2 2" xfId="103"/>
    <cellStyle name="60% - Accent2 2 2" xfId="104"/>
    <cellStyle name="60% - Accent2 2 2 2" xfId="1156"/>
    <cellStyle name="60% - Accent2 2 2 2 2" xfId="1834"/>
    <cellStyle name="60% - Accent2 2 2 3" xfId="1271"/>
    <cellStyle name="60% - Accent2 2 3" xfId="105"/>
    <cellStyle name="60% - Accent2 3" xfId="106"/>
    <cellStyle name="60% - Accent2 3 2" xfId="1085"/>
    <cellStyle name="60% - Accent2 4" xfId="107"/>
    <cellStyle name="60% - Accent2 4 2" xfId="1835"/>
    <cellStyle name="60% - Accent2 4 3" xfId="1948"/>
    <cellStyle name="60% - Accent2 5" xfId="108"/>
    <cellStyle name="60% - Accent2 6" xfId="5439"/>
    <cellStyle name="60% - Accent3" xfId="10988" builtinId="40" customBuiltin="1"/>
    <cellStyle name="60% - Accent3 2" xfId="109"/>
    <cellStyle name="60% - Accent3 2 2" xfId="110"/>
    <cellStyle name="60% - Accent3 2 2 2" xfId="1157"/>
    <cellStyle name="60% - Accent3 2 2 2 2" xfId="1853"/>
    <cellStyle name="60% - Accent3 2 2 3" xfId="1272"/>
    <cellStyle name="60% - Accent3 2 3" xfId="111"/>
    <cellStyle name="60% - Accent3 3" xfId="112"/>
    <cellStyle name="60% - Accent3 3 2" xfId="1086"/>
    <cellStyle name="60% - Accent3 3 2 2" xfId="1875"/>
    <cellStyle name="60% - Accent3 3 3" xfId="1947"/>
    <cellStyle name="60% - Accent3 4" xfId="113"/>
    <cellStyle name="60% - Accent3 5" xfId="5440"/>
    <cellStyle name="60% - Accent4" xfId="10992" builtinId="44" customBuiltin="1"/>
    <cellStyle name="60% - Accent4 2" xfId="114"/>
    <cellStyle name="60% - Accent4 2 2" xfId="115"/>
    <cellStyle name="60% - Accent4 2 2 2" xfId="1158"/>
    <cellStyle name="60% - Accent4 2 2 2 2" xfId="1906"/>
    <cellStyle name="60% - Accent4 2 2 3" xfId="1273"/>
    <cellStyle name="60% - Accent4 2 3" xfId="116"/>
    <cellStyle name="60% - Accent4 3" xfId="117"/>
    <cellStyle name="60% - Accent4 3 2" xfId="1087"/>
    <cellStyle name="60% - Accent4 3 2 2" xfId="1907"/>
    <cellStyle name="60% - Accent4 3 3" xfId="1946"/>
    <cellStyle name="60% - Accent4 4" xfId="118"/>
    <cellStyle name="60% - Accent4 5" xfId="5441"/>
    <cellStyle name="60% - Accent5" xfId="10996" builtinId="48" customBuiltin="1"/>
    <cellStyle name="60% - Accent5 2" xfId="119"/>
    <cellStyle name="60% - Accent5 2 2" xfId="120"/>
    <cellStyle name="60% - Accent5 2 2 2" xfId="1159"/>
    <cellStyle name="60% - Accent5 2 2 2 2" xfId="1908"/>
    <cellStyle name="60% - Accent5 2 2 3" xfId="1274"/>
    <cellStyle name="60% - Accent5 2 3" xfId="121"/>
    <cellStyle name="60% - Accent5 3" xfId="122"/>
    <cellStyle name="60% - Accent5 3 2" xfId="123"/>
    <cellStyle name="60% - Accent5 3 3" xfId="1088"/>
    <cellStyle name="60% - Accent5 3 3 2" xfId="1981"/>
    <cellStyle name="60% - Accent5 3 4" xfId="1945"/>
    <cellStyle name="60% - Accent5 4" xfId="124"/>
    <cellStyle name="60% - Accent5 5" xfId="5442"/>
    <cellStyle name="60% - Accent6" xfId="11000" builtinId="52" customBuiltin="1"/>
    <cellStyle name="60% - Accent6 2" xfId="125"/>
    <cellStyle name="60% - Accent6 2 2" xfId="126"/>
    <cellStyle name="60% - Accent6 2 2 2" xfId="1160"/>
    <cellStyle name="60% - Accent6 2 2 2 2" xfId="1982"/>
    <cellStyle name="60% - Accent6 2 2 3" xfId="1275"/>
    <cellStyle name="60% - Accent6 2 3" xfId="127"/>
    <cellStyle name="60% - Accent6 3" xfId="128"/>
    <cellStyle name="60% - Accent6 3 2" xfId="1089"/>
    <cellStyle name="60% - Accent6 3 2 2" xfId="1983"/>
    <cellStyle name="60% - Accent6 3 3" xfId="1944"/>
    <cellStyle name="60% - Accent6 4" xfId="129"/>
    <cellStyle name="60% - Accent6 5" xfId="5443"/>
    <cellStyle name="75%" xfId="130"/>
    <cellStyle name="Accent1" xfId="10977" builtinId="29" customBuiltin="1"/>
    <cellStyle name="Accent1 - 20%" xfId="131"/>
    <cellStyle name="Accent1 - 20% 2" xfId="132"/>
    <cellStyle name="Accent1 - 20% 2 2" xfId="1984"/>
    <cellStyle name="Accent1 - 20% 2 3" xfId="1276"/>
    <cellStyle name="Accent1 - 40%" xfId="133"/>
    <cellStyle name="Accent1 - 40% 2" xfId="134"/>
    <cellStyle name="Accent1 - 40% 2 2" xfId="1985"/>
    <cellStyle name="Accent1 - 40% 2 3" xfId="1277"/>
    <cellStyle name="Accent1 - 60%" xfId="135"/>
    <cellStyle name="Accent1 - 60% 2" xfId="136"/>
    <cellStyle name="Accent1 - 60% 2 2" xfId="1986"/>
    <cellStyle name="Accent1 - 60% 2 3" xfId="1278"/>
    <cellStyle name="Accent1 10" xfId="137"/>
    <cellStyle name="Accent1 10 2" xfId="1189"/>
    <cellStyle name="Accent1 11" xfId="138"/>
    <cellStyle name="Accent1 12" xfId="139"/>
    <cellStyle name="Accent1 13" xfId="140"/>
    <cellStyle name="Accent1 14" xfId="141"/>
    <cellStyle name="Accent1 15" xfId="142"/>
    <cellStyle name="Accent1 16" xfId="143"/>
    <cellStyle name="Accent1 17" xfId="144"/>
    <cellStyle name="Accent1 18" xfId="145"/>
    <cellStyle name="Accent1 19" xfId="146"/>
    <cellStyle name="Accent1 2" xfId="147"/>
    <cellStyle name="Accent1 2 2" xfId="148"/>
    <cellStyle name="Accent1 2 2 2" xfId="149"/>
    <cellStyle name="Accent1 2 2 3" xfId="1987"/>
    <cellStyle name="Accent1 2 2 4" xfId="1279"/>
    <cellStyle name="Accent1 2 3" xfId="150"/>
    <cellStyle name="Accent1 2 3 2" xfId="151"/>
    <cellStyle name="Accent1 2 4" xfId="152"/>
    <cellStyle name="Accent1 20" xfId="153"/>
    <cellStyle name="Accent1 21" xfId="154"/>
    <cellStyle name="Accent1 22" xfId="155"/>
    <cellStyle name="Accent1 23" xfId="915"/>
    <cellStyle name="Accent1 23 2" xfId="2281"/>
    <cellStyle name="Accent1 24" xfId="943"/>
    <cellStyle name="Accent1 24 2" xfId="2129"/>
    <cellStyle name="Accent1 25" xfId="968"/>
    <cellStyle name="Accent1 25 2" xfId="2292"/>
    <cellStyle name="Accent1 26" xfId="950"/>
    <cellStyle name="Accent1 26 2" xfId="5444"/>
    <cellStyle name="Accent1 27" xfId="1030"/>
    <cellStyle name="Accent1 27 2" xfId="5445"/>
    <cellStyle name="Accent1 28" xfId="1007"/>
    <cellStyle name="Accent1 28 2" xfId="5446"/>
    <cellStyle name="Accent1 29" xfId="1032"/>
    <cellStyle name="Accent1 29 2" xfId="5447"/>
    <cellStyle name="Accent1 3" xfId="156"/>
    <cellStyle name="Accent1 3 2" xfId="157"/>
    <cellStyle name="Accent1 3 2 2" xfId="1090"/>
    <cellStyle name="Accent1 3 3" xfId="158"/>
    <cellStyle name="Accent1 3 4" xfId="1988"/>
    <cellStyle name="Accent1 3 5" xfId="1943"/>
    <cellStyle name="Accent1 30" xfId="1004"/>
    <cellStyle name="Accent1 30 2" xfId="5448"/>
    <cellStyle name="Accent1 31" xfId="1033"/>
    <cellStyle name="Accent1 31 2" xfId="5449"/>
    <cellStyle name="Accent1 32" xfId="1046"/>
    <cellStyle name="Accent1 32 2" xfId="5450"/>
    <cellStyle name="Accent1 33" xfId="1070"/>
    <cellStyle name="Accent1 33 2" xfId="5451"/>
    <cellStyle name="Accent1 34" xfId="1056"/>
    <cellStyle name="Accent1 34 2" xfId="5452"/>
    <cellStyle name="Accent1 35" xfId="1138"/>
    <cellStyle name="Accent1 36" xfId="1118"/>
    <cellStyle name="Accent1 37" xfId="1196"/>
    <cellStyle name="Accent1 38" xfId="1215"/>
    <cellStyle name="Accent1 39" xfId="1224"/>
    <cellStyle name="Accent1 4" xfId="159"/>
    <cellStyle name="Accent1 4 2" xfId="160"/>
    <cellStyle name="Accent1 40" xfId="6231"/>
    <cellStyle name="Accent1 41" xfId="6813"/>
    <cellStyle name="Accent1 42" xfId="11026"/>
    <cellStyle name="Accent1 43" xfId="11028"/>
    <cellStyle name="Accent1 44" xfId="11032"/>
    <cellStyle name="Accent1 45" xfId="11039"/>
    <cellStyle name="Accent1 5" xfId="161"/>
    <cellStyle name="Accent1 5 2" xfId="162"/>
    <cellStyle name="Accent1 6" xfId="163"/>
    <cellStyle name="Accent1 6 2" xfId="164"/>
    <cellStyle name="Accent1 7" xfId="165"/>
    <cellStyle name="Accent1 8" xfId="166"/>
    <cellStyle name="Accent1 8 2" xfId="1161"/>
    <cellStyle name="Accent1 9" xfId="167"/>
    <cellStyle name="Accent1 9 2" xfId="1174"/>
    <cellStyle name="Accent2" xfId="10981" builtinId="33" customBuiltin="1"/>
    <cellStyle name="Accent2 - 20%" xfId="168"/>
    <cellStyle name="Accent2 - 20% 2" xfId="169"/>
    <cellStyle name="Accent2 - 20% 2 2" xfId="1989"/>
    <cellStyle name="Accent2 - 20% 2 3" xfId="1280"/>
    <cellStyle name="Accent2 - 40%" xfId="170"/>
    <cellStyle name="Accent2 - 40% 2" xfId="171"/>
    <cellStyle name="Accent2 - 40% 2 2" xfId="1990"/>
    <cellStyle name="Accent2 - 40% 2 3" xfId="1281"/>
    <cellStyle name="Accent2 - 60%" xfId="172"/>
    <cellStyle name="Accent2 - 60% 2" xfId="173"/>
    <cellStyle name="Accent2 - 60% 2 2" xfId="1991"/>
    <cellStyle name="Accent2 - 60% 2 3" xfId="1282"/>
    <cellStyle name="Accent2 10" xfId="174"/>
    <cellStyle name="Accent2 10 2" xfId="1188"/>
    <cellStyle name="Accent2 11" xfId="175"/>
    <cellStyle name="Accent2 12" xfId="176"/>
    <cellStyle name="Accent2 13" xfId="177"/>
    <cellStyle name="Accent2 14" xfId="178"/>
    <cellStyle name="Accent2 15" xfId="179"/>
    <cellStyle name="Accent2 16" xfId="180"/>
    <cellStyle name="Accent2 17" xfId="181"/>
    <cellStyle name="Accent2 18" xfId="182"/>
    <cellStyle name="Accent2 19" xfId="183"/>
    <cellStyle name="Accent2 2" xfId="184"/>
    <cellStyle name="Accent2 2 2" xfId="185"/>
    <cellStyle name="Accent2 2 2 2" xfId="186"/>
    <cellStyle name="Accent2 2 2 3" xfId="1992"/>
    <cellStyle name="Accent2 2 2 4" xfId="1283"/>
    <cellStyle name="Accent2 2 3" xfId="187"/>
    <cellStyle name="Accent2 2 3 2" xfId="188"/>
    <cellStyle name="Accent2 2 4" xfId="189"/>
    <cellStyle name="Accent2 20" xfId="190"/>
    <cellStyle name="Accent2 21" xfId="191"/>
    <cellStyle name="Accent2 22" xfId="192"/>
    <cellStyle name="Accent2 23" xfId="916"/>
    <cellStyle name="Accent2 23 2" xfId="2280"/>
    <cellStyle name="Accent2 24" xfId="941"/>
    <cellStyle name="Accent2 24 2" xfId="2130"/>
    <cellStyle name="Accent2 25" xfId="984"/>
    <cellStyle name="Accent2 25 2" xfId="2290"/>
    <cellStyle name="Accent2 26" xfId="971"/>
    <cellStyle name="Accent2 26 2" xfId="5453"/>
    <cellStyle name="Accent2 27" xfId="1028"/>
    <cellStyle name="Accent2 27 2" xfId="5454"/>
    <cellStyle name="Accent2 28" xfId="1009"/>
    <cellStyle name="Accent2 28 2" xfId="5455"/>
    <cellStyle name="Accent2 29" xfId="1031"/>
    <cellStyle name="Accent2 29 2" xfId="5456"/>
    <cellStyle name="Accent2 3" xfId="193"/>
    <cellStyle name="Accent2 3 2" xfId="194"/>
    <cellStyle name="Accent2 3 2 2" xfId="1091"/>
    <cellStyle name="Accent2 3 3" xfId="195"/>
    <cellStyle name="Accent2 3 4" xfId="1993"/>
    <cellStyle name="Accent2 3 5" xfId="1942"/>
    <cellStyle name="Accent2 30" xfId="1005"/>
    <cellStyle name="Accent2 30 2" xfId="5457"/>
    <cellStyle name="Accent2 31" xfId="1027"/>
    <cellStyle name="Accent2 31 2" xfId="5458"/>
    <cellStyle name="Accent2 32" xfId="1048"/>
    <cellStyle name="Accent2 32 2" xfId="5459"/>
    <cellStyle name="Accent2 33" xfId="1064"/>
    <cellStyle name="Accent2 33 2" xfId="5460"/>
    <cellStyle name="Accent2 34" xfId="1183"/>
    <cellStyle name="Accent2 34 2" xfId="5461"/>
    <cellStyle name="Accent2 35" xfId="1137"/>
    <cellStyle name="Accent2 36" xfId="1119"/>
    <cellStyle name="Accent2 37" xfId="1197"/>
    <cellStyle name="Accent2 38" xfId="1216"/>
    <cellStyle name="Accent2 39" xfId="1223"/>
    <cellStyle name="Accent2 4" xfId="196"/>
    <cellStyle name="Accent2 4 2" xfId="197"/>
    <cellStyle name="Accent2 40" xfId="6232"/>
    <cellStyle name="Accent2 41" xfId="6353"/>
    <cellStyle name="Accent2 42" xfId="11025"/>
    <cellStyle name="Accent2 43" xfId="11012"/>
    <cellStyle name="Accent2 44" xfId="11033"/>
    <cellStyle name="Accent2 45" xfId="11040"/>
    <cellStyle name="Accent2 5" xfId="198"/>
    <cellStyle name="Accent2 5 2" xfId="199"/>
    <cellStyle name="Accent2 6" xfId="200"/>
    <cellStyle name="Accent2 6 2" xfId="201"/>
    <cellStyle name="Accent2 7" xfId="202"/>
    <cellStyle name="Accent2 8" xfId="203"/>
    <cellStyle name="Accent2 8 2" xfId="1163"/>
    <cellStyle name="Accent2 9" xfId="204"/>
    <cellStyle name="Accent2 9 2" xfId="1171"/>
    <cellStyle name="Accent3" xfId="10985" builtinId="37" customBuiltin="1"/>
    <cellStyle name="Accent3 - 20%" xfId="205"/>
    <cellStyle name="Accent3 - 20% 2" xfId="206"/>
    <cellStyle name="Accent3 - 20% 2 2" xfId="1994"/>
    <cellStyle name="Accent3 - 20% 2 3" xfId="1284"/>
    <cellStyle name="Accent3 - 40%" xfId="207"/>
    <cellStyle name="Accent3 - 40% 2" xfId="208"/>
    <cellStyle name="Accent3 - 40% 2 2" xfId="1995"/>
    <cellStyle name="Accent3 - 40% 2 3" xfId="1285"/>
    <cellStyle name="Accent3 - 60%" xfId="209"/>
    <cellStyle name="Accent3 - 60% 2" xfId="210"/>
    <cellStyle name="Accent3 - 60% 2 2" xfId="1996"/>
    <cellStyle name="Accent3 - 60% 2 3" xfId="1286"/>
    <cellStyle name="Accent3 10" xfId="211"/>
    <cellStyle name="Accent3 10 2" xfId="1187"/>
    <cellStyle name="Accent3 11" xfId="212"/>
    <cellStyle name="Accent3 12" xfId="213"/>
    <cellStyle name="Accent3 13" xfId="214"/>
    <cellStyle name="Accent3 14" xfId="215"/>
    <cellStyle name="Accent3 15" xfId="216"/>
    <cellStyle name="Accent3 16" xfId="217"/>
    <cellStyle name="Accent3 17" xfId="218"/>
    <cellStyle name="Accent3 18" xfId="219"/>
    <cellStyle name="Accent3 19" xfId="220"/>
    <cellStyle name="Accent3 2" xfId="221"/>
    <cellStyle name="Accent3 2 2" xfId="222"/>
    <cellStyle name="Accent3 2 2 2" xfId="223"/>
    <cellStyle name="Accent3 2 2 3" xfId="1997"/>
    <cellStyle name="Accent3 2 2 4" xfId="1287"/>
    <cellStyle name="Accent3 2 3" xfId="224"/>
    <cellStyle name="Accent3 2 3 2" xfId="225"/>
    <cellStyle name="Accent3 2 4" xfId="226"/>
    <cellStyle name="Accent3 20" xfId="227"/>
    <cellStyle name="Accent3 21" xfId="228"/>
    <cellStyle name="Accent3 22" xfId="229"/>
    <cellStyle name="Accent3 23" xfId="918"/>
    <cellStyle name="Accent3 23 2" xfId="2278"/>
    <cellStyle name="Accent3 24" xfId="936"/>
    <cellStyle name="Accent3 24 2" xfId="2146"/>
    <cellStyle name="Accent3 25" xfId="966"/>
    <cellStyle name="Accent3 25 2" xfId="2287"/>
    <cellStyle name="Accent3 26" xfId="975"/>
    <cellStyle name="Accent3 26 2" xfId="5462"/>
    <cellStyle name="Accent3 27" xfId="1026"/>
    <cellStyle name="Accent3 27 2" xfId="5463"/>
    <cellStyle name="Accent3 28" xfId="1010"/>
    <cellStyle name="Accent3 28 2" xfId="5464"/>
    <cellStyle name="Accent3 29" xfId="1029"/>
    <cellStyle name="Accent3 29 2" xfId="5465"/>
    <cellStyle name="Accent3 3" xfId="230"/>
    <cellStyle name="Accent3 3 2" xfId="231"/>
    <cellStyle name="Accent3 3 2 2" xfId="1093"/>
    <cellStyle name="Accent3 3 3" xfId="232"/>
    <cellStyle name="Accent3 3 4" xfId="1998"/>
    <cellStyle name="Accent3 3 5" xfId="1941"/>
    <cellStyle name="Accent3 30" xfId="1008"/>
    <cellStyle name="Accent3 30 2" xfId="5466"/>
    <cellStyle name="Accent3 31" xfId="1019"/>
    <cellStyle name="Accent3 31 2" xfId="5467"/>
    <cellStyle name="Accent3 32" xfId="1049"/>
    <cellStyle name="Accent3 32 2" xfId="5468"/>
    <cellStyle name="Accent3 33" xfId="1063"/>
    <cellStyle name="Accent3 33 2" xfId="5469"/>
    <cellStyle name="Accent3 34" xfId="1092"/>
    <cellStyle name="Accent3 34 2" xfId="5470"/>
    <cellStyle name="Accent3 35" xfId="1136"/>
    <cellStyle name="Accent3 36" xfId="1120"/>
    <cellStyle name="Accent3 37" xfId="1198"/>
    <cellStyle name="Accent3 38" xfId="1217"/>
    <cellStyle name="Accent3 39" xfId="2310"/>
    <cellStyle name="Accent3 4" xfId="233"/>
    <cellStyle name="Accent3 4 2" xfId="234"/>
    <cellStyle name="Accent3 40" xfId="6233"/>
    <cellStyle name="Accent3 41" xfId="6239"/>
    <cellStyle name="Accent3 42" xfId="11024"/>
    <cellStyle name="Accent3 43" xfId="11015"/>
    <cellStyle name="Accent3 44" xfId="11034"/>
    <cellStyle name="Accent3 45" xfId="11041"/>
    <cellStyle name="Accent3 5" xfId="235"/>
    <cellStyle name="Accent3 5 2" xfId="236"/>
    <cellStyle name="Accent3 6" xfId="237"/>
    <cellStyle name="Accent3 6 2" xfId="238"/>
    <cellStyle name="Accent3 7" xfId="239"/>
    <cellStyle name="Accent3 8" xfId="240"/>
    <cellStyle name="Accent3 8 2" xfId="1165"/>
    <cellStyle name="Accent3 9" xfId="241"/>
    <cellStyle name="Accent3 9 2" xfId="1170"/>
    <cellStyle name="Accent4" xfId="10989" builtinId="41" customBuiltin="1"/>
    <cellStyle name="Accent4 - 20%" xfId="242"/>
    <cellStyle name="Accent4 - 20% 2" xfId="243"/>
    <cellStyle name="Accent4 - 20% 2 2" xfId="1999"/>
    <cellStyle name="Accent4 - 20% 2 3" xfId="1288"/>
    <cellStyle name="Accent4 - 40%" xfId="244"/>
    <cellStyle name="Accent4 - 40% 2" xfId="245"/>
    <cellStyle name="Accent4 - 40% 2 2" xfId="2000"/>
    <cellStyle name="Accent4 - 40% 2 3" xfId="1289"/>
    <cellStyle name="Accent4 - 60%" xfId="246"/>
    <cellStyle name="Accent4 - 60% 2" xfId="247"/>
    <cellStyle name="Accent4 - 60% 2 2" xfId="2001"/>
    <cellStyle name="Accent4 - 60% 2 3" xfId="1290"/>
    <cellStyle name="Accent4 10" xfId="248"/>
    <cellStyle name="Accent4 10 2" xfId="1141"/>
    <cellStyle name="Accent4 11" xfId="249"/>
    <cellStyle name="Accent4 12" xfId="250"/>
    <cellStyle name="Accent4 13" xfId="251"/>
    <cellStyle name="Accent4 14" xfId="252"/>
    <cellStyle name="Accent4 15" xfId="253"/>
    <cellStyle name="Accent4 16" xfId="254"/>
    <cellStyle name="Accent4 17" xfId="255"/>
    <cellStyle name="Accent4 18" xfId="256"/>
    <cellStyle name="Accent4 19" xfId="257"/>
    <cellStyle name="Accent4 2" xfId="258"/>
    <cellStyle name="Accent4 2 2" xfId="259"/>
    <cellStyle name="Accent4 2 2 2" xfId="260"/>
    <cellStyle name="Accent4 2 2 3" xfId="2002"/>
    <cellStyle name="Accent4 2 2 4" xfId="1291"/>
    <cellStyle name="Accent4 2 3" xfId="261"/>
    <cellStyle name="Accent4 2 3 2" xfId="262"/>
    <cellStyle name="Accent4 2 4" xfId="263"/>
    <cellStyle name="Accent4 20" xfId="264"/>
    <cellStyle name="Accent4 21" xfId="265"/>
    <cellStyle name="Accent4 22" xfId="266"/>
    <cellStyle name="Accent4 23" xfId="919"/>
    <cellStyle name="Accent4 23 2" xfId="2277"/>
    <cellStyle name="Accent4 24" xfId="938"/>
    <cellStyle name="Accent4 24 2" xfId="2161"/>
    <cellStyle name="Accent4 25" xfId="965"/>
    <cellStyle name="Accent4 25 2" xfId="2286"/>
    <cellStyle name="Accent4 26" xfId="951"/>
    <cellStyle name="Accent4 26 2" xfId="5471"/>
    <cellStyle name="Accent4 27" xfId="1024"/>
    <cellStyle name="Accent4 27 2" xfId="5472"/>
    <cellStyle name="Accent4 28" xfId="1012"/>
    <cellStyle name="Accent4 28 2" xfId="5473"/>
    <cellStyle name="Accent4 29" xfId="1025"/>
    <cellStyle name="Accent4 29 2" xfId="5474"/>
    <cellStyle name="Accent4 3" xfId="267"/>
    <cellStyle name="Accent4 3 2" xfId="268"/>
    <cellStyle name="Accent4 3 2 2" xfId="1095"/>
    <cellStyle name="Accent4 3 3" xfId="269"/>
    <cellStyle name="Accent4 3 4" xfId="2003"/>
    <cellStyle name="Accent4 3 5" xfId="1940"/>
    <cellStyle name="Accent4 30" xfId="1011"/>
    <cellStyle name="Accent4 30 2" xfId="5475"/>
    <cellStyle name="Accent4 31" xfId="1018"/>
    <cellStyle name="Accent4 31 2" xfId="5476"/>
    <cellStyle name="Accent4 32" xfId="1050"/>
    <cellStyle name="Accent4 32 2" xfId="5477"/>
    <cellStyle name="Accent4 33" xfId="1062"/>
    <cellStyle name="Accent4 33 2" xfId="5478"/>
    <cellStyle name="Accent4 34" xfId="1068"/>
    <cellStyle name="Accent4 34 2" xfId="5479"/>
    <cellStyle name="Accent4 35" xfId="1135"/>
    <cellStyle name="Accent4 36" xfId="1121"/>
    <cellStyle name="Accent4 37" xfId="1199"/>
    <cellStyle name="Accent4 38" xfId="1218"/>
    <cellStyle name="Accent4 39" xfId="2309"/>
    <cellStyle name="Accent4 4" xfId="270"/>
    <cellStyle name="Accent4 4 2" xfId="271"/>
    <cellStyle name="Accent4 40" xfId="6234"/>
    <cellStyle name="Accent4 41" xfId="6812"/>
    <cellStyle name="Accent4 42" xfId="11023"/>
    <cellStyle name="Accent4 43" xfId="11017"/>
    <cellStyle name="Accent4 44" xfId="11035"/>
    <cellStyle name="Accent4 45" xfId="11042"/>
    <cellStyle name="Accent4 5" xfId="272"/>
    <cellStyle name="Accent4 5 2" xfId="273"/>
    <cellStyle name="Accent4 6" xfId="274"/>
    <cellStyle name="Accent4 6 2" xfId="275"/>
    <cellStyle name="Accent4 7" xfId="276"/>
    <cellStyle name="Accent4 8" xfId="277"/>
    <cellStyle name="Accent4 8 2" xfId="1166"/>
    <cellStyle name="Accent4 9" xfId="278"/>
    <cellStyle name="Accent4 9 2" xfId="1167"/>
    <cellStyle name="Accent5" xfId="10993" builtinId="45" customBuiltin="1"/>
    <cellStyle name="Accent5 - 20%" xfId="279"/>
    <cellStyle name="Accent5 - 20% 2" xfId="280"/>
    <cellStyle name="Accent5 - 20% 2 2" xfId="2004"/>
    <cellStyle name="Accent5 - 20% 2 3" xfId="1292"/>
    <cellStyle name="Accent5 - 40%" xfId="281"/>
    <cellStyle name="Accent5 - 40% 2" xfId="282"/>
    <cellStyle name="Accent5 - 40% 2 2" xfId="2005"/>
    <cellStyle name="Accent5 - 40% 2 3" xfId="1293"/>
    <cellStyle name="Accent5 - 60%" xfId="283"/>
    <cellStyle name="Accent5 - 60% 2" xfId="284"/>
    <cellStyle name="Accent5 - 60% 2 2" xfId="2006"/>
    <cellStyle name="Accent5 - 60% 2 3" xfId="1294"/>
    <cellStyle name="Accent5 10" xfId="285"/>
    <cellStyle name="Accent5 10 2" xfId="1142"/>
    <cellStyle name="Accent5 11" xfId="286"/>
    <cellStyle name="Accent5 12" xfId="287"/>
    <cellStyle name="Accent5 13" xfId="288"/>
    <cellStyle name="Accent5 14" xfId="289"/>
    <cellStyle name="Accent5 15" xfId="290"/>
    <cellStyle name="Accent5 16" xfId="291"/>
    <cellStyle name="Accent5 17" xfId="292"/>
    <cellStyle name="Accent5 18" xfId="293"/>
    <cellStyle name="Accent5 19" xfId="294"/>
    <cellStyle name="Accent5 2" xfId="295"/>
    <cellStyle name="Accent5 2 2" xfId="296"/>
    <cellStyle name="Accent5 2 2 2" xfId="297"/>
    <cellStyle name="Accent5 2 2 3" xfId="2007"/>
    <cellStyle name="Accent5 2 2 4" xfId="1295"/>
    <cellStyle name="Accent5 2 3" xfId="298"/>
    <cellStyle name="Accent5 2 3 2" xfId="299"/>
    <cellStyle name="Accent5 2 4" xfId="300"/>
    <cellStyle name="Accent5 20" xfId="301"/>
    <cellStyle name="Accent5 21" xfId="302"/>
    <cellStyle name="Accent5 22" xfId="303"/>
    <cellStyle name="Accent5 23" xfId="920"/>
    <cellStyle name="Accent5 23 2" xfId="2276"/>
    <cellStyle name="Accent5 24" xfId="939"/>
    <cellStyle name="Accent5 24 2" xfId="2176"/>
    <cellStyle name="Accent5 25" xfId="964"/>
    <cellStyle name="Accent5 25 2" xfId="2285"/>
    <cellStyle name="Accent5 26" xfId="952"/>
    <cellStyle name="Accent5 26 2" xfId="5480"/>
    <cellStyle name="Accent5 27" xfId="1022"/>
    <cellStyle name="Accent5 27 2" xfId="5481"/>
    <cellStyle name="Accent5 28" xfId="1015"/>
    <cellStyle name="Accent5 28 2" xfId="5482"/>
    <cellStyle name="Accent5 29" xfId="1023"/>
    <cellStyle name="Accent5 29 2" xfId="5483"/>
    <cellStyle name="Accent5 3" xfId="304"/>
    <cellStyle name="Accent5 3 2" xfId="305"/>
    <cellStyle name="Accent5 3 2 2" xfId="1096"/>
    <cellStyle name="Accent5 3 3" xfId="306"/>
    <cellStyle name="Accent5 3 4" xfId="2008"/>
    <cellStyle name="Accent5 3 5" xfId="1939"/>
    <cellStyle name="Accent5 30" xfId="1013"/>
    <cellStyle name="Accent5 30 2" xfId="5484"/>
    <cellStyle name="Accent5 31" xfId="1014"/>
    <cellStyle name="Accent5 31 2" xfId="5485"/>
    <cellStyle name="Accent5 32" xfId="1051"/>
    <cellStyle name="Accent5 32 2" xfId="5486"/>
    <cellStyle name="Accent5 33" xfId="1060"/>
    <cellStyle name="Accent5 33 2" xfId="5487"/>
    <cellStyle name="Accent5 34" xfId="1055"/>
    <cellStyle name="Accent5 34 2" xfId="5488"/>
    <cellStyle name="Accent5 35" xfId="1131"/>
    <cellStyle name="Accent5 36" xfId="1122"/>
    <cellStyle name="Accent5 37" xfId="1200"/>
    <cellStyle name="Accent5 38" xfId="1219"/>
    <cellStyle name="Accent5 39" xfId="2307"/>
    <cellStyle name="Accent5 4" xfId="307"/>
    <cellStyle name="Accent5 4 2" xfId="308"/>
    <cellStyle name="Accent5 40" xfId="6235"/>
    <cellStyle name="Accent5 41" xfId="6809"/>
    <cellStyle name="Accent5 42" xfId="11022"/>
    <cellStyle name="Accent5 43" xfId="11018"/>
    <cellStyle name="Accent5 44" xfId="11036"/>
    <cellStyle name="Accent5 45" xfId="11043"/>
    <cellStyle name="Accent5 5" xfId="309"/>
    <cellStyle name="Accent5 5 2" xfId="310"/>
    <cellStyle name="Accent5 6" xfId="311"/>
    <cellStyle name="Accent5 6 2" xfId="312"/>
    <cellStyle name="Accent5 7" xfId="313"/>
    <cellStyle name="Accent5 8" xfId="314"/>
    <cellStyle name="Accent5 8 2" xfId="1168"/>
    <cellStyle name="Accent5 9" xfId="315"/>
    <cellStyle name="Accent5 9 2" xfId="1164"/>
    <cellStyle name="Accent6" xfId="10997" builtinId="49" customBuiltin="1"/>
    <cellStyle name="Accent6 - 20%" xfId="316"/>
    <cellStyle name="Accent6 - 20% 2" xfId="317"/>
    <cellStyle name="Accent6 - 20% 2 2" xfId="2009"/>
    <cellStyle name="Accent6 - 20% 2 3" xfId="1296"/>
    <cellStyle name="Accent6 - 40%" xfId="318"/>
    <cellStyle name="Accent6 - 40% 2" xfId="319"/>
    <cellStyle name="Accent6 - 40% 2 2" xfId="2010"/>
    <cellStyle name="Accent6 - 40% 2 3" xfId="1297"/>
    <cellStyle name="Accent6 - 60%" xfId="320"/>
    <cellStyle name="Accent6 - 60% 2" xfId="321"/>
    <cellStyle name="Accent6 - 60% 2 2" xfId="2011"/>
    <cellStyle name="Accent6 - 60% 2 3" xfId="1298"/>
    <cellStyle name="Accent6 10" xfId="322"/>
    <cellStyle name="Accent6 10 2" xfId="1143"/>
    <cellStyle name="Accent6 11" xfId="323"/>
    <cellStyle name="Accent6 12" xfId="324"/>
    <cellStyle name="Accent6 13" xfId="325"/>
    <cellStyle name="Accent6 14" xfId="326"/>
    <cellStyle name="Accent6 15" xfId="327"/>
    <cellStyle name="Accent6 16" xfId="328"/>
    <cellStyle name="Accent6 17" xfId="329"/>
    <cellStyle name="Accent6 18" xfId="330"/>
    <cellStyle name="Accent6 19" xfId="331"/>
    <cellStyle name="Accent6 2" xfId="332"/>
    <cellStyle name="Accent6 2 2" xfId="333"/>
    <cellStyle name="Accent6 2 2 2" xfId="334"/>
    <cellStyle name="Accent6 2 2 3" xfId="2012"/>
    <cellStyle name="Accent6 2 2 4" xfId="1299"/>
    <cellStyle name="Accent6 2 3" xfId="335"/>
    <cellStyle name="Accent6 2 3 2" xfId="336"/>
    <cellStyle name="Accent6 2 4" xfId="337"/>
    <cellStyle name="Accent6 20" xfId="338"/>
    <cellStyle name="Accent6 21" xfId="339"/>
    <cellStyle name="Accent6 22" xfId="340"/>
    <cellStyle name="Accent6 23" xfId="921"/>
    <cellStyle name="Accent6 23 2" xfId="2275"/>
    <cellStyle name="Accent6 24" xfId="945"/>
    <cellStyle name="Accent6 24 2" xfId="2195"/>
    <cellStyle name="Accent6 25" xfId="962"/>
    <cellStyle name="Accent6 25 2" xfId="2282"/>
    <cellStyle name="Accent6 26" xfId="953"/>
    <cellStyle name="Accent6 26 2" xfId="5489"/>
    <cellStyle name="Accent6 27" xfId="1020"/>
    <cellStyle name="Accent6 27 2" xfId="5490"/>
    <cellStyle name="Accent6 28" xfId="1017"/>
    <cellStyle name="Accent6 28 2" xfId="5491"/>
    <cellStyle name="Accent6 29" xfId="1021"/>
    <cellStyle name="Accent6 29 2" xfId="5492"/>
    <cellStyle name="Accent6 3" xfId="341"/>
    <cellStyle name="Accent6 3 2" xfId="342"/>
    <cellStyle name="Accent6 3 2 2" xfId="1097"/>
    <cellStyle name="Accent6 3 3" xfId="343"/>
    <cellStyle name="Accent6 3 4" xfId="2013"/>
    <cellStyle name="Accent6 3 5" xfId="1938"/>
    <cellStyle name="Accent6 30" xfId="1016"/>
    <cellStyle name="Accent6 30 2" xfId="5493"/>
    <cellStyle name="Accent6 31" xfId="1006"/>
    <cellStyle name="Accent6 31 2" xfId="5494"/>
    <cellStyle name="Accent6 32" xfId="1052"/>
    <cellStyle name="Accent6 32 2" xfId="5495"/>
    <cellStyle name="Accent6 33" xfId="1059"/>
    <cellStyle name="Accent6 33 2" xfId="5496"/>
    <cellStyle name="Accent6 34" xfId="1072"/>
    <cellStyle name="Accent6 34 2" xfId="5497"/>
    <cellStyle name="Accent6 35" xfId="1130"/>
    <cellStyle name="Accent6 36" xfId="1123"/>
    <cellStyle name="Accent6 37" xfId="1201"/>
    <cellStyle name="Accent6 38" xfId="1220"/>
    <cellStyle name="Accent6 39" xfId="2306"/>
    <cellStyle name="Accent6 4" xfId="344"/>
    <cellStyle name="Accent6 4 2" xfId="345"/>
    <cellStyle name="Accent6 40" xfId="6236"/>
    <cellStyle name="Accent6 41" xfId="6802"/>
    <cellStyle name="Accent6 42" xfId="11021"/>
    <cellStyle name="Accent6 43" xfId="11020"/>
    <cellStyle name="Accent6 44" xfId="11037"/>
    <cellStyle name="Accent6 45" xfId="11044"/>
    <cellStyle name="Accent6 5" xfId="346"/>
    <cellStyle name="Accent6 5 2" xfId="347"/>
    <cellStyle name="Accent6 6" xfId="348"/>
    <cellStyle name="Accent6 6 2" xfId="349"/>
    <cellStyle name="Accent6 7" xfId="350"/>
    <cellStyle name="Accent6 8" xfId="351"/>
    <cellStyle name="Accent6 8 2" xfId="1169"/>
    <cellStyle name="Accent6 9" xfId="352"/>
    <cellStyle name="Accent6 9 2" xfId="1162"/>
    <cellStyle name="al_laroux_7_laroux_1_²ðò²Ê´²ÜÎ" xfId="353"/>
    <cellStyle name="Bad" xfId="10967" builtinId="27" customBuiltin="1"/>
    <cellStyle name="Bad 2" xfId="354"/>
    <cellStyle name="Bad 2 2" xfId="355"/>
    <cellStyle name="Bad 2 2 2" xfId="356"/>
    <cellStyle name="Bad 2 2 3" xfId="2014"/>
    <cellStyle name="Bad 2 2 4" xfId="1300"/>
    <cellStyle name="Bad 2 3" xfId="357"/>
    <cellStyle name="Bad 2 3 2" xfId="358"/>
    <cellStyle name="Bad 2 4" xfId="359"/>
    <cellStyle name="Bad 3" xfId="360"/>
    <cellStyle name="Bad 3 2" xfId="361"/>
    <cellStyle name="Bad 3 3" xfId="2015"/>
    <cellStyle name="Bad 3 4" xfId="1937"/>
    <cellStyle name="Bad 4" xfId="362"/>
    <cellStyle name="Bad 5" xfId="363"/>
    <cellStyle name="Bad 6" xfId="364"/>
    <cellStyle name="Bad 7" xfId="5498"/>
    <cellStyle name="Body" xfId="365"/>
    <cellStyle name="Body 2" xfId="366"/>
    <cellStyle name="Body 3" xfId="367"/>
    <cellStyle name="Calculation" xfId="10971" builtinId="22" customBuiltin="1"/>
    <cellStyle name="Calculation 10" xfId="5499"/>
    <cellStyle name="Calculation 10 2" xfId="9711"/>
    <cellStyle name="Calculation 10 3" xfId="10624"/>
    <cellStyle name="Calculation 11" xfId="5500"/>
    <cellStyle name="Calculation 11 2" xfId="9712"/>
    <cellStyle name="Calculation 11 3" xfId="10625"/>
    <cellStyle name="Calculation 12" xfId="5501"/>
    <cellStyle name="Calculation 12 2" xfId="9713"/>
    <cellStyle name="Calculation 12 3" xfId="10626"/>
    <cellStyle name="Calculation 13" xfId="5502"/>
    <cellStyle name="Calculation 13 2" xfId="9714"/>
    <cellStyle name="Calculation 13 3" xfId="10627"/>
    <cellStyle name="Calculation 14" xfId="6800"/>
    <cellStyle name="Calculation 15" xfId="11019"/>
    <cellStyle name="Calculation 2" xfId="368"/>
    <cellStyle name="Calculation 2 2" xfId="369"/>
    <cellStyle name="Calculation 2 2 10" xfId="5503"/>
    <cellStyle name="Calculation 2 2 10 2" xfId="9715"/>
    <cellStyle name="Calculation 2 2 10 3" xfId="10628"/>
    <cellStyle name="Calculation 2 2 11" xfId="5504"/>
    <cellStyle name="Calculation 2 2 11 2" xfId="9716"/>
    <cellStyle name="Calculation 2 2 11 3" xfId="10629"/>
    <cellStyle name="Calculation 2 2 12" xfId="1301"/>
    <cellStyle name="Calculation 2 2 13" xfId="8906"/>
    <cellStyle name="Calculation 2 2 2" xfId="370"/>
    <cellStyle name="Calculation 2 2 2 10" xfId="2017"/>
    <cellStyle name="Calculation 2 2 2 11" xfId="6736"/>
    <cellStyle name="Calculation 2 2 2 12" xfId="6731"/>
    <cellStyle name="Calculation 2 2 2 2" xfId="3154"/>
    <cellStyle name="Calculation 2 2 2 2 2" xfId="7587"/>
    <cellStyle name="Calculation 2 2 2 2 3" xfId="10481"/>
    <cellStyle name="Calculation 2 2 2 3" xfId="3526"/>
    <cellStyle name="Calculation 2 2 2 3 2" xfId="7946"/>
    <cellStyle name="Calculation 2 2 2 3 3" xfId="10550"/>
    <cellStyle name="Calculation 2 2 2 4" xfId="3553"/>
    <cellStyle name="Calculation 2 2 2 4 2" xfId="7973"/>
    <cellStyle name="Calculation 2 2 2 4 3" xfId="10577"/>
    <cellStyle name="Calculation 2 2 2 5" xfId="5505"/>
    <cellStyle name="Calculation 2 2 2 5 2" xfId="9717"/>
    <cellStyle name="Calculation 2 2 2 5 3" xfId="10630"/>
    <cellStyle name="Calculation 2 2 2 6" xfId="5506"/>
    <cellStyle name="Calculation 2 2 2 6 2" xfId="9718"/>
    <cellStyle name="Calculation 2 2 2 6 3" xfId="10631"/>
    <cellStyle name="Calculation 2 2 2 7" xfId="5507"/>
    <cellStyle name="Calculation 2 2 2 7 2" xfId="9719"/>
    <cellStyle name="Calculation 2 2 2 7 3" xfId="10632"/>
    <cellStyle name="Calculation 2 2 2 8" xfId="5508"/>
    <cellStyle name="Calculation 2 2 2 8 2" xfId="9720"/>
    <cellStyle name="Calculation 2 2 2 8 3" xfId="10633"/>
    <cellStyle name="Calculation 2 2 2 9" xfId="5509"/>
    <cellStyle name="Calculation 2 2 2 9 2" xfId="9721"/>
    <cellStyle name="Calculation 2 2 2 9 3" xfId="10634"/>
    <cellStyle name="Calculation 2 2 3" xfId="2016"/>
    <cellStyle name="Calculation 2 2 3 10" xfId="6735"/>
    <cellStyle name="Calculation 2 2 3 11" xfId="6732"/>
    <cellStyle name="Calculation 2 2 3 2" xfId="3153"/>
    <cellStyle name="Calculation 2 2 3 2 2" xfId="7586"/>
    <cellStyle name="Calculation 2 2 3 2 3" xfId="10480"/>
    <cellStyle name="Calculation 2 2 3 3" xfId="3525"/>
    <cellStyle name="Calculation 2 2 3 3 2" xfId="7945"/>
    <cellStyle name="Calculation 2 2 3 3 3" xfId="10549"/>
    <cellStyle name="Calculation 2 2 3 4" xfId="3554"/>
    <cellStyle name="Calculation 2 2 3 4 2" xfId="7974"/>
    <cellStyle name="Calculation 2 2 3 4 3" xfId="10578"/>
    <cellStyle name="Calculation 2 2 3 5" xfId="5510"/>
    <cellStyle name="Calculation 2 2 3 5 2" xfId="9722"/>
    <cellStyle name="Calculation 2 2 3 5 3" xfId="10635"/>
    <cellStyle name="Calculation 2 2 3 6" xfId="5511"/>
    <cellStyle name="Calculation 2 2 3 6 2" xfId="9723"/>
    <cellStyle name="Calculation 2 2 3 6 3" xfId="10636"/>
    <cellStyle name="Calculation 2 2 3 7" xfId="5512"/>
    <cellStyle name="Calculation 2 2 3 7 2" xfId="9724"/>
    <cellStyle name="Calculation 2 2 3 7 3" xfId="10637"/>
    <cellStyle name="Calculation 2 2 3 8" xfId="5513"/>
    <cellStyle name="Calculation 2 2 3 8 2" xfId="9725"/>
    <cellStyle name="Calculation 2 2 3 8 3" xfId="10638"/>
    <cellStyle name="Calculation 2 2 3 9" xfId="5514"/>
    <cellStyle name="Calculation 2 2 3 9 2" xfId="9726"/>
    <cellStyle name="Calculation 2 2 3 9 3" xfId="10639"/>
    <cellStyle name="Calculation 2 2 4" xfId="2670"/>
    <cellStyle name="Calculation 2 2 4 2" xfId="7112"/>
    <cellStyle name="Calculation 2 2 4 3" xfId="10447"/>
    <cellStyle name="Calculation 2 2 5" xfId="3344"/>
    <cellStyle name="Calculation 2 2 5 2" xfId="7766"/>
    <cellStyle name="Calculation 2 2 5 3" xfId="10545"/>
    <cellStyle name="Calculation 2 2 6" xfId="2634"/>
    <cellStyle name="Calculation 2 2 6 2" xfId="7080"/>
    <cellStyle name="Calculation 2 2 6 3" xfId="10432"/>
    <cellStyle name="Calculation 2 2 7" xfId="5515"/>
    <cellStyle name="Calculation 2 2 7 2" xfId="9727"/>
    <cellStyle name="Calculation 2 2 7 3" xfId="10640"/>
    <cellStyle name="Calculation 2 2 8" xfId="5516"/>
    <cellStyle name="Calculation 2 2 8 2" xfId="9728"/>
    <cellStyle name="Calculation 2 2 8 3" xfId="10641"/>
    <cellStyle name="Calculation 2 2 9" xfId="5517"/>
    <cellStyle name="Calculation 2 2 9 2" xfId="9729"/>
    <cellStyle name="Calculation 2 2 9 3" xfId="10642"/>
    <cellStyle name="Calculation 2 3" xfId="371"/>
    <cellStyle name="Calculation 2 3 10" xfId="5518"/>
    <cellStyle name="Calculation 2 3 10 2" xfId="9730"/>
    <cellStyle name="Calculation 2 3 10 3" xfId="10643"/>
    <cellStyle name="Calculation 2 3 11" xfId="5519"/>
    <cellStyle name="Calculation 2 3 11 2" xfId="9731"/>
    <cellStyle name="Calculation 2 3 11 3" xfId="10644"/>
    <cellStyle name="Calculation 2 3 12" xfId="1457"/>
    <cellStyle name="Calculation 2 3 13" xfId="6355"/>
    <cellStyle name="Calculation 2 3 14" xfId="6724"/>
    <cellStyle name="Calculation 2 3 2" xfId="372"/>
    <cellStyle name="Calculation 2 3 2 10" xfId="2019"/>
    <cellStyle name="Calculation 2 3 2 11" xfId="6737"/>
    <cellStyle name="Calculation 2 3 2 12" xfId="6730"/>
    <cellStyle name="Calculation 2 3 2 2" xfId="3155"/>
    <cellStyle name="Calculation 2 3 2 2 2" xfId="7588"/>
    <cellStyle name="Calculation 2 3 2 2 3" xfId="10482"/>
    <cellStyle name="Calculation 2 3 2 3" xfId="3527"/>
    <cellStyle name="Calculation 2 3 2 3 2" xfId="7947"/>
    <cellStyle name="Calculation 2 3 2 3 3" xfId="10551"/>
    <cellStyle name="Calculation 2 3 2 4" xfId="3552"/>
    <cellStyle name="Calculation 2 3 2 4 2" xfId="7972"/>
    <cellStyle name="Calculation 2 3 2 4 3" xfId="10576"/>
    <cellStyle name="Calculation 2 3 2 5" xfId="5520"/>
    <cellStyle name="Calculation 2 3 2 5 2" xfId="9732"/>
    <cellStyle name="Calculation 2 3 2 5 3" xfId="10645"/>
    <cellStyle name="Calculation 2 3 2 6" xfId="5521"/>
    <cellStyle name="Calculation 2 3 2 6 2" xfId="9733"/>
    <cellStyle name="Calculation 2 3 2 6 3" xfId="10646"/>
    <cellStyle name="Calculation 2 3 2 7" xfId="5522"/>
    <cellStyle name="Calculation 2 3 2 7 2" xfId="9734"/>
    <cellStyle name="Calculation 2 3 2 7 3" xfId="10647"/>
    <cellStyle name="Calculation 2 3 2 8" xfId="5523"/>
    <cellStyle name="Calculation 2 3 2 8 2" xfId="9735"/>
    <cellStyle name="Calculation 2 3 2 8 3" xfId="10648"/>
    <cellStyle name="Calculation 2 3 2 9" xfId="5524"/>
    <cellStyle name="Calculation 2 3 2 9 2" xfId="9736"/>
    <cellStyle name="Calculation 2 3 2 9 3" xfId="10649"/>
    <cellStyle name="Calculation 2 3 3" xfId="2018"/>
    <cellStyle name="Calculation 2 3 4" xfId="2766"/>
    <cellStyle name="Calculation 2 3 4 2" xfId="7207"/>
    <cellStyle name="Calculation 2 3 4 3" xfId="10454"/>
    <cellStyle name="Calculation 2 3 5" xfId="3188"/>
    <cellStyle name="Calculation 2 3 5 2" xfId="7614"/>
    <cellStyle name="Calculation 2 3 5 3" xfId="10504"/>
    <cellStyle name="Calculation 2 3 6" xfId="2946"/>
    <cellStyle name="Calculation 2 3 6 2" xfId="7386"/>
    <cellStyle name="Calculation 2 3 6 3" xfId="10459"/>
    <cellStyle name="Calculation 2 3 7" xfId="5525"/>
    <cellStyle name="Calculation 2 3 7 2" xfId="9737"/>
    <cellStyle name="Calculation 2 3 7 3" xfId="10650"/>
    <cellStyle name="Calculation 2 3 8" xfId="5526"/>
    <cellStyle name="Calculation 2 3 8 2" xfId="9738"/>
    <cellStyle name="Calculation 2 3 8 3" xfId="10651"/>
    <cellStyle name="Calculation 2 3 9" xfId="5527"/>
    <cellStyle name="Calculation 2 3 9 2" xfId="9739"/>
    <cellStyle name="Calculation 2 3 9 3" xfId="10652"/>
    <cellStyle name="Calculation 2 4" xfId="373"/>
    <cellStyle name="Calculation 2 4 10" xfId="2020"/>
    <cellStyle name="Calculation 2 4 11" xfId="6738"/>
    <cellStyle name="Calculation 2 4 12" xfId="6264"/>
    <cellStyle name="Calculation 2 4 2" xfId="3156"/>
    <cellStyle name="Calculation 2 4 2 2" xfId="7589"/>
    <cellStyle name="Calculation 2 4 2 3" xfId="10483"/>
    <cellStyle name="Calculation 2 4 3" xfId="3528"/>
    <cellStyle name="Calculation 2 4 3 2" xfId="7948"/>
    <cellStyle name="Calculation 2 4 3 3" xfId="10552"/>
    <cellStyle name="Calculation 2 4 4" xfId="3148"/>
    <cellStyle name="Calculation 2 4 4 2" xfId="7582"/>
    <cellStyle name="Calculation 2 4 4 3" xfId="10476"/>
    <cellStyle name="Calculation 2 4 5" xfId="5528"/>
    <cellStyle name="Calculation 2 4 5 2" xfId="9740"/>
    <cellStyle name="Calculation 2 4 5 3" xfId="10653"/>
    <cellStyle name="Calculation 2 4 6" xfId="5529"/>
    <cellStyle name="Calculation 2 4 6 2" xfId="9741"/>
    <cellStyle name="Calculation 2 4 6 3" xfId="10654"/>
    <cellStyle name="Calculation 2 4 7" xfId="5530"/>
    <cellStyle name="Calculation 2 4 7 2" xfId="9742"/>
    <cellStyle name="Calculation 2 4 7 3" xfId="10655"/>
    <cellStyle name="Calculation 2 4 8" xfId="5531"/>
    <cellStyle name="Calculation 2 4 8 2" xfId="9743"/>
    <cellStyle name="Calculation 2 4 8 3" xfId="10656"/>
    <cellStyle name="Calculation 2 4 9" xfId="5532"/>
    <cellStyle name="Calculation 2 4 9 2" xfId="9744"/>
    <cellStyle name="Calculation 2 4 9 3" xfId="10657"/>
    <cellStyle name="Calculation 2 5" xfId="3701"/>
    <cellStyle name="Calculation 2 5 2" xfId="8099"/>
    <cellStyle name="Calculation 2 5 3" xfId="10614"/>
    <cellStyle name="Calculation 2 6" xfId="5229"/>
    <cellStyle name="Calculation 2 6 2" xfId="9528"/>
    <cellStyle name="Calculation 2 6 3" xfId="10619"/>
    <cellStyle name="Calculation 3" xfId="374"/>
    <cellStyle name="Calculation 3 10" xfId="5533"/>
    <cellStyle name="Calculation 3 10 2" xfId="9745"/>
    <cellStyle name="Calculation 3 10 3" xfId="10658"/>
    <cellStyle name="Calculation 3 11" xfId="5534"/>
    <cellStyle name="Calculation 3 11 2" xfId="9746"/>
    <cellStyle name="Calculation 3 11 3" xfId="10659"/>
    <cellStyle name="Calculation 3 12" xfId="1936"/>
    <cellStyle name="Calculation 3 13" xfId="6721"/>
    <cellStyle name="Calculation 3 14" xfId="6733"/>
    <cellStyle name="Calculation 3 2" xfId="375"/>
    <cellStyle name="Calculation 3 2 10" xfId="2022"/>
    <cellStyle name="Calculation 3 2 11" xfId="6740"/>
    <cellStyle name="Calculation 3 2 12" xfId="6729"/>
    <cellStyle name="Calculation 3 2 2" xfId="3158"/>
    <cellStyle name="Calculation 3 2 2 2" xfId="7591"/>
    <cellStyle name="Calculation 3 2 2 3" xfId="10485"/>
    <cellStyle name="Calculation 3 2 3" xfId="3530"/>
    <cellStyle name="Calculation 3 2 3 2" xfId="7950"/>
    <cellStyle name="Calculation 3 2 3 3" xfId="10554"/>
    <cellStyle name="Calculation 3 2 4" xfId="3550"/>
    <cellStyle name="Calculation 3 2 4 2" xfId="7970"/>
    <cellStyle name="Calculation 3 2 4 3" xfId="10574"/>
    <cellStyle name="Calculation 3 2 5" xfId="5535"/>
    <cellStyle name="Calculation 3 2 5 2" xfId="9747"/>
    <cellStyle name="Calculation 3 2 5 3" xfId="10660"/>
    <cellStyle name="Calculation 3 2 6" xfId="5536"/>
    <cellStyle name="Calculation 3 2 6 2" xfId="9748"/>
    <cellStyle name="Calculation 3 2 6 3" xfId="10661"/>
    <cellStyle name="Calculation 3 2 7" xfId="5537"/>
    <cellStyle name="Calculation 3 2 7 2" xfId="9749"/>
    <cellStyle name="Calculation 3 2 7 3" xfId="10662"/>
    <cellStyle name="Calculation 3 2 8" xfId="5538"/>
    <cellStyle name="Calculation 3 2 8 2" xfId="9750"/>
    <cellStyle name="Calculation 3 2 8 3" xfId="10663"/>
    <cellStyle name="Calculation 3 2 9" xfId="5539"/>
    <cellStyle name="Calculation 3 2 9 2" xfId="9751"/>
    <cellStyle name="Calculation 3 2 9 3" xfId="10664"/>
    <cellStyle name="Calculation 3 3" xfId="2021"/>
    <cellStyle name="Calculation 3 3 10" xfId="6739"/>
    <cellStyle name="Calculation 3 3 11" xfId="6259"/>
    <cellStyle name="Calculation 3 3 2" xfId="3157"/>
    <cellStyle name="Calculation 3 3 2 2" xfId="7590"/>
    <cellStyle name="Calculation 3 3 2 3" xfId="10484"/>
    <cellStyle name="Calculation 3 3 3" xfId="3529"/>
    <cellStyle name="Calculation 3 3 3 2" xfId="7949"/>
    <cellStyle name="Calculation 3 3 3 3" xfId="10553"/>
    <cellStyle name="Calculation 3 3 4" xfId="3551"/>
    <cellStyle name="Calculation 3 3 4 2" xfId="7971"/>
    <cellStyle name="Calculation 3 3 4 3" xfId="10575"/>
    <cellStyle name="Calculation 3 3 5" xfId="5540"/>
    <cellStyle name="Calculation 3 3 5 2" xfId="9752"/>
    <cellStyle name="Calculation 3 3 5 3" xfId="10665"/>
    <cellStyle name="Calculation 3 3 6" xfId="5541"/>
    <cellStyle name="Calculation 3 3 6 2" xfId="9753"/>
    <cellStyle name="Calculation 3 3 6 3" xfId="10666"/>
    <cellStyle name="Calculation 3 3 7" xfId="5542"/>
    <cellStyle name="Calculation 3 3 7 2" xfId="9754"/>
    <cellStyle name="Calculation 3 3 7 3" xfId="10667"/>
    <cellStyle name="Calculation 3 3 8" xfId="5543"/>
    <cellStyle name="Calculation 3 3 8 2" xfId="9755"/>
    <cellStyle name="Calculation 3 3 8 3" xfId="10668"/>
    <cellStyle name="Calculation 3 3 9" xfId="5544"/>
    <cellStyle name="Calculation 3 3 9 2" xfId="9756"/>
    <cellStyle name="Calculation 3 3 9 3" xfId="10669"/>
    <cellStyle name="Calculation 3 4" xfId="3142"/>
    <cellStyle name="Calculation 3 4 2" xfId="7577"/>
    <cellStyle name="Calculation 3 4 3" xfId="10471"/>
    <cellStyle name="Calculation 3 5" xfId="3146"/>
    <cellStyle name="Calculation 3 5 2" xfId="7580"/>
    <cellStyle name="Calculation 3 5 3" xfId="10474"/>
    <cellStyle name="Calculation 3 6" xfId="3212"/>
    <cellStyle name="Calculation 3 6 2" xfId="7636"/>
    <cellStyle name="Calculation 3 6 3" xfId="10509"/>
    <cellStyle name="Calculation 3 7" xfId="5545"/>
    <cellStyle name="Calculation 3 7 2" xfId="9757"/>
    <cellStyle name="Calculation 3 7 3" xfId="10670"/>
    <cellStyle name="Calculation 3 8" xfId="5546"/>
    <cellStyle name="Calculation 3 8 2" xfId="9758"/>
    <cellStyle name="Calculation 3 8 3" xfId="10671"/>
    <cellStyle name="Calculation 3 9" xfId="5547"/>
    <cellStyle name="Calculation 3 9 2" xfId="9759"/>
    <cellStyle name="Calculation 3 9 3" xfId="10672"/>
    <cellStyle name="Calculation 4" xfId="376"/>
    <cellStyle name="Calculation 4 10" xfId="2023"/>
    <cellStyle name="Calculation 4 11" xfId="6741"/>
    <cellStyle name="Calculation 4 12" xfId="6728"/>
    <cellStyle name="Calculation 4 2" xfId="3159"/>
    <cellStyle name="Calculation 4 2 2" xfId="7592"/>
    <cellStyle name="Calculation 4 2 3" xfId="10486"/>
    <cellStyle name="Calculation 4 3" xfId="3531"/>
    <cellStyle name="Calculation 4 3 2" xfId="7951"/>
    <cellStyle name="Calculation 4 3 3" xfId="10555"/>
    <cellStyle name="Calculation 4 4" xfId="3549"/>
    <cellStyle name="Calculation 4 4 2" xfId="7969"/>
    <cellStyle name="Calculation 4 4 3" xfId="10573"/>
    <cellStyle name="Calculation 4 5" xfId="5548"/>
    <cellStyle name="Calculation 4 5 2" xfId="9760"/>
    <cellStyle name="Calculation 4 5 3" xfId="10673"/>
    <cellStyle name="Calculation 4 6" xfId="5549"/>
    <cellStyle name="Calculation 4 6 2" xfId="9761"/>
    <cellStyle name="Calculation 4 6 3" xfId="10674"/>
    <cellStyle name="Calculation 4 7" xfId="5550"/>
    <cellStyle name="Calculation 4 7 2" xfId="9762"/>
    <cellStyle name="Calculation 4 7 3" xfId="10675"/>
    <cellStyle name="Calculation 4 8" xfId="5551"/>
    <cellStyle name="Calculation 4 8 2" xfId="9763"/>
    <cellStyle name="Calculation 4 8 3" xfId="10676"/>
    <cellStyle name="Calculation 4 9" xfId="5552"/>
    <cellStyle name="Calculation 4 9 2" xfId="9764"/>
    <cellStyle name="Calculation 4 9 3" xfId="10677"/>
    <cellStyle name="Calculation 5" xfId="377"/>
    <cellStyle name="Calculation 5 10" xfId="2024"/>
    <cellStyle name="Calculation 5 11" xfId="6742"/>
    <cellStyle name="Calculation 5 12" xfId="6727"/>
    <cellStyle name="Calculation 5 2" xfId="3160"/>
    <cellStyle name="Calculation 5 2 2" xfId="7593"/>
    <cellStyle name="Calculation 5 2 3" xfId="10487"/>
    <cellStyle name="Calculation 5 3" xfId="3532"/>
    <cellStyle name="Calculation 5 3 2" xfId="7952"/>
    <cellStyle name="Calculation 5 3 3" xfId="10556"/>
    <cellStyle name="Calculation 5 4" xfId="3547"/>
    <cellStyle name="Calculation 5 4 2" xfId="7967"/>
    <cellStyle name="Calculation 5 4 3" xfId="10571"/>
    <cellStyle name="Calculation 5 5" xfId="5553"/>
    <cellStyle name="Calculation 5 5 2" xfId="9765"/>
    <cellStyle name="Calculation 5 5 3" xfId="10678"/>
    <cellStyle name="Calculation 5 6" xfId="5554"/>
    <cellStyle name="Calculation 5 6 2" xfId="9766"/>
    <cellStyle name="Calculation 5 6 3" xfId="10679"/>
    <cellStyle name="Calculation 5 7" xfId="5555"/>
    <cellStyle name="Calculation 5 7 2" xfId="9767"/>
    <cellStyle name="Calculation 5 7 3" xfId="10680"/>
    <cellStyle name="Calculation 5 8" xfId="5556"/>
    <cellStyle name="Calculation 5 8 2" xfId="9768"/>
    <cellStyle name="Calculation 5 8 3" xfId="10681"/>
    <cellStyle name="Calculation 5 9" xfId="5557"/>
    <cellStyle name="Calculation 5 9 2" xfId="9769"/>
    <cellStyle name="Calculation 5 9 3" xfId="10682"/>
    <cellStyle name="Calculation 6" xfId="378"/>
    <cellStyle name="Calculation 6 10" xfId="2025"/>
    <cellStyle name="Calculation 6 11" xfId="6743"/>
    <cellStyle name="Calculation 6 12" xfId="6726"/>
    <cellStyle name="Calculation 6 2" xfId="3161"/>
    <cellStyle name="Calculation 6 2 2" xfId="7594"/>
    <cellStyle name="Calculation 6 2 3" xfId="10488"/>
    <cellStyle name="Calculation 6 3" xfId="3533"/>
    <cellStyle name="Calculation 6 3 2" xfId="7953"/>
    <cellStyle name="Calculation 6 3 3" xfId="10557"/>
    <cellStyle name="Calculation 6 4" xfId="3548"/>
    <cellStyle name="Calculation 6 4 2" xfId="7968"/>
    <cellStyle name="Calculation 6 4 3" xfId="10572"/>
    <cellStyle name="Calculation 6 5" xfId="5558"/>
    <cellStyle name="Calculation 6 5 2" xfId="9770"/>
    <cellStyle name="Calculation 6 5 3" xfId="10683"/>
    <cellStyle name="Calculation 6 6" xfId="5559"/>
    <cellStyle name="Calculation 6 6 2" xfId="9771"/>
    <cellStyle name="Calculation 6 6 3" xfId="10684"/>
    <cellStyle name="Calculation 6 7" xfId="5560"/>
    <cellStyle name="Calculation 6 7 2" xfId="9772"/>
    <cellStyle name="Calculation 6 7 3" xfId="10685"/>
    <cellStyle name="Calculation 6 8" xfId="5561"/>
    <cellStyle name="Calculation 6 8 2" xfId="9773"/>
    <cellStyle name="Calculation 6 8 3" xfId="10686"/>
    <cellStyle name="Calculation 6 9" xfId="5562"/>
    <cellStyle name="Calculation 6 9 2" xfId="9774"/>
    <cellStyle name="Calculation 6 9 3" xfId="10687"/>
    <cellStyle name="Calculation 7" xfId="2654"/>
    <cellStyle name="Calculation 7 2" xfId="7099"/>
    <cellStyle name="Calculation 7 3" xfId="10438"/>
    <cellStyle name="Calculation 8" xfId="5563"/>
    <cellStyle name="Calculation 8 2" xfId="9775"/>
    <cellStyle name="Calculation 8 3" xfId="10688"/>
    <cellStyle name="Calculation 9" xfId="5564"/>
    <cellStyle name="Calculation 9 2" xfId="9776"/>
    <cellStyle name="Calculation 9 3" xfId="10689"/>
    <cellStyle name="Check Cell" xfId="10973" builtinId="23" customBuiltin="1"/>
    <cellStyle name="Check Cell 2" xfId="379"/>
    <cellStyle name="Check Cell 2 2" xfId="380"/>
    <cellStyle name="Check Cell 2 2 2" xfId="381"/>
    <cellStyle name="Check Cell 2 2 3" xfId="2026"/>
    <cellStyle name="Check Cell 2 2 4" xfId="1302"/>
    <cellStyle name="Check Cell 2 3" xfId="382"/>
    <cellStyle name="Check Cell 2 3 2" xfId="383"/>
    <cellStyle name="Check Cell 2 4" xfId="384"/>
    <cellStyle name="Check Cell 3" xfId="385"/>
    <cellStyle name="Check Cell 3 2" xfId="386"/>
    <cellStyle name="Check Cell 3 3" xfId="387"/>
    <cellStyle name="Check Cell 3 4" xfId="2027"/>
    <cellStyle name="Check Cell 3 5" xfId="1935"/>
    <cellStyle name="Check Cell 4" xfId="388"/>
    <cellStyle name="Check Cell 5" xfId="389"/>
    <cellStyle name="Check Cell 6" xfId="390"/>
    <cellStyle name="Check Cell 7" xfId="5565"/>
    <cellStyle name="Comma" xfId="391" builtinId="3"/>
    <cellStyle name="Comma 10" xfId="392"/>
    <cellStyle name="Comma 10 2" xfId="393"/>
    <cellStyle name="Comma 10 3" xfId="2029"/>
    <cellStyle name="Comma 11" xfId="394"/>
    <cellStyle name="Comma 11 2" xfId="1098"/>
    <cellStyle name="Comma 11 3" xfId="1303"/>
    <cellStyle name="Comma 12" xfId="395"/>
    <cellStyle name="Comma 12 10" xfId="2671"/>
    <cellStyle name="Comma 12 10 2" xfId="7113"/>
    <cellStyle name="Comma 12 11" xfId="3603"/>
    <cellStyle name="Comma 12 11 2" xfId="8011"/>
    <cellStyle name="Comma 12 12" xfId="3702"/>
    <cellStyle name="Comma 12 12 2" xfId="8100"/>
    <cellStyle name="Comma 12 13" xfId="3808"/>
    <cellStyle name="Comma 12 13 2" xfId="8197"/>
    <cellStyle name="Comma 12 14" xfId="3903"/>
    <cellStyle name="Comma 12 14 2" xfId="8285"/>
    <cellStyle name="Comma 12 15" xfId="3996"/>
    <cellStyle name="Comma 12 15 2" xfId="8374"/>
    <cellStyle name="Comma 12 16" xfId="4091"/>
    <cellStyle name="Comma 12 16 2" xfId="8461"/>
    <cellStyle name="Comma 12 17" xfId="4194"/>
    <cellStyle name="Comma 12 17 2" xfId="8555"/>
    <cellStyle name="Comma 12 18" xfId="4288"/>
    <cellStyle name="Comma 12 18 2" xfId="8644"/>
    <cellStyle name="Comma 12 19" xfId="4380"/>
    <cellStyle name="Comma 12 19 2" xfId="8731"/>
    <cellStyle name="Comma 12 2" xfId="1458"/>
    <cellStyle name="Comma 12 2 2" xfId="2767"/>
    <cellStyle name="Comma 12 2 2 2" xfId="7208"/>
    <cellStyle name="Comma 12 2 3" xfId="6356"/>
    <cellStyle name="Comma 12 20" xfId="4472"/>
    <cellStyle name="Comma 12 20 2" xfId="8819"/>
    <cellStyle name="Comma 12 21" xfId="4568"/>
    <cellStyle name="Comma 12 21 2" xfId="8908"/>
    <cellStyle name="Comma 12 22" xfId="4662"/>
    <cellStyle name="Comma 12 22 2" xfId="8996"/>
    <cellStyle name="Comma 12 23" xfId="4755"/>
    <cellStyle name="Comma 12 23 2" xfId="9084"/>
    <cellStyle name="Comma 12 24" xfId="4848"/>
    <cellStyle name="Comma 12 24 2" xfId="9173"/>
    <cellStyle name="Comma 12 25" xfId="4942"/>
    <cellStyle name="Comma 12 25 2" xfId="9262"/>
    <cellStyle name="Comma 12 26" xfId="5036"/>
    <cellStyle name="Comma 12 26 2" xfId="9350"/>
    <cellStyle name="Comma 12 27" xfId="5132"/>
    <cellStyle name="Comma 12 27 2" xfId="9437"/>
    <cellStyle name="Comma 12 28" xfId="5230"/>
    <cellStyle name="Comma 12 28 2" xfId="9529"/>
    <cellStyle name="Comma 12 29" xfId="5334"/>
    <cellStyle name="Comma 12 29 2" xfId="9621"/>
    <cellStyle name="Comma 12 3" xfId="1563"/>
    <cellStyle name="Comma 12 3 2" xfId="2858"/>
    <cellStyle name="Comma 12 3 2 2" xfId="7299"/>
    <cellStyle name="Comma 12 3 3" xfId="6447"/>
    <cellStyle name="Comma 12 30" xfId="5855"/>
    <cellStyle name="Comma 12 30 2" xfId="10047"/>
    <cellStyle name="Comma 12 31" xfId="5948"/>
    <cellStyle name="Comma 12 31 2" xfId="10134"/>
    <cellStyle name="Comma 12 32" xfId="6045"/>
    <cellStyle name="Comma 12 32 2" xfId="10223"/>
    <cellStyle name="Comma 12 33" xfId="6137"/>
    <cellStyle name="Comma 12 33 2" xfId="10311"/>
    <cellStyle name="Comma 12 34" xfId="1304"/>
    <cellStyle name="Comma 12 35" xfId="6265"/>
    <cellStyle name="Comma 12 4" xfId="1673"/>
    <cellStyle name="Comma 12 4 2" xfId="2948"/>
    <cellStyle name="Comma 12 4 2 2" xfId="7387"/>
    <cellStyle name="Comma 12 4 3" xfId="6536"/>
    <cellStyle name="Comma 12 5" xfId="1781"/>
    <cellStyle name="Comma 12 5 2" xfId="3035"/>
    <cellStyle name="Comma 12 5 2 2" xfId="7474"/>
    <cellStyle name="Comma 12 5 3" xfId="6623"/>
    <cellStyle name="Comma 12 6" xfId="2030"/>
    <cellStyle name="Comma 12 7" xfId="2319"/>
    <cellStyle name="Comma 12 7 2" xfId="3257"/>
    <cellStyle name="Comma 12 7 2 2" xfId="7679"/>
    <cellStyle name="Comma 12 7 3" xfId="6814"/>
    <cellStyle name="Comma 12 8" xfId="2409"/>
    <cellStyle name="Comma 12 8 2" xfId="3346"/>
    <cellStyle name="Comma 12 8 2 2" xfId="7768"/>
    <cellStyle name="Comma 12 8 3" xfId="6902"/>
    <cellStyle name="Comma 12 9" xfId="2510"/>
    <cellStyle name="Comma 12 9 2" xfId="3436"/>
    <cellStyle name="Comma 12 9 2 2" xfId="7858"/>
    <cellStyle name="Comma 12 9 3" xfId="6989"/>
    <cellStyle name="Comma 13" xfId="955"/>
    <cellStyle name="Comma 13 2" xfId="1245"/>
    <cellStyle name="Comma 14" xfId="1042"/>
    <cellStyle name="Comma 14 2" xfId="3140"/>
    <cellStyle name="Comma 14 3" xfId="1934"/>
    <cellStyle name="Comma 15" xfId="1078"/>
    <cellStyle name="Comma 15 2" xfId="3162"/>
    <cellStyle name="Comma 15 3" xfId="2028"/>
    <cellStyle name="Comma 16" xfId="1192"/>
    <cellStyle name="Comma 16 2" xfId="2603"/>
    <cellStyle name="Comma 17" xfId="1203"/>
    <cellStyle name="Comma 17 2" xfId="5226"/>
    <cellStyle name="Comma 17 3" xfId="9526"/>
    <cellStyle name="Comma 18" xfId="10399"/>
    <cellStyle name="Comma 19" xfId="11009"/>
    <cellStyle name="Comma 2" xfId="396"/>
    <cellStyle name="Comma 2 10" xfId="5566"/>
    <cellStyle name="Comma 2 11" xfId="11002"/>
    <cellStyle name="Comma 2 2" xfId="397"/>
    <cellStyle name="Comma 2 2 2" xfId="398"/>
    <cellStyle name="Comma 2 2 2 2" xfId="2031"/>
    <cellStyle name="Comma 2 2 2 3" xfId="1306"/>
    <cellStyle name="Comma 2 2 3" xfId="399"/>
    <cellStyle name="Comma 2 2 4" xfId="1172"/>
    <cellStyle name="Comma 2 3" xfId="400"/>
    <cellStyle name="Comma 2 3 2" xfId="401"/>
    <cellStyle name="Comma 2 3 2 2" xfId="1099"/>
    <cellStyle name="Comma 2 3 2 2 2" xfId="2033"/>
    <cellStyle name="Comma 2 3 3" xfId="402"/>
    <cellStyle name="Comma 2 3 4" xfId="973"/>
    <cellStyle name="Comma 2 3 4 2" xfId="2032"/>
    <cellStyle name="Comma 2 4" xfId="403"/>
    <cellStyle name="Comma 2 4 2" xfId="404"/>
    <cellStyle name="Comma 2 4 3" xfId="2034"/>
    <cellStyle name="Comma 2 5" xfId="405"/>
    <cellStyle name="Comma 2 5 2" xfId="406"/>
    <cellStyle name="Comma 2 5 3" xfId="2035"/>
    <cellStyle name="Comma 2 5 3 2" xfId="3164"/>
    <cellStyle name="Comma 2 5 3 2 2" xfId="7596"/>
    <cellStyle name="Comma 2 5 3 3" xfId="6744"/>
    <cellStyle name="Comma 2 6" xfId="407"/>
    <cellStyle name="Comma 2 6 2" xfId="2036"/>
    <cellStyle name="Comma 2 6 3" xfId="1307"/>
    <cellStyle name="Comma 2 7" xfId="935"/>
    <cellStyle name="Comma 2 7 2" xfId="1308"/>
    <cellStyle name="Comma 2 8" xfId="1036"/>
    <cellStyle name="Comma 2 8 2" xfId="1305"/>
    <cellStyle name="Comma 2 9" xfId="1933"/>
    <cellStyle name="Comma 3" xfId="408"/>
    <cellStyle name="Comma 3 10" xfId="1231"/>
    <cellStyle name="Comma 3 11" xfId="6247"/>
    <cellStyle name="Comma 3 2" xfId="409"/>
    <cellStyle name="Comma 3 2 2" xfId="410"/>
    <cellStyle name="Comma 3 2 2 2" xfId="3165"/>
    <cellStyle name="Comma 3 2 2 2 2" xfId="7597"/>
    <cellStyle name="Comma 3 2 2 3" xfId="2038"/>
    <cellStyle name="Comma 3 2 2 4" xfId="6745"/>
    <cellStyle name="Comma 3 2 3" xfId="1173"/>
    <cellStyle name="Comma 3 2 3 2" xfId="2037"/>
    <cellStyle name="Comma 3 2 4" xfId="2652"/>
    <cellStyle name="Comma 3 2 4 2" xfId="7097"/>
    <cellStyle name="Comma 3 2 5" xfId="1237"/>
    <cellStyle name="Comma 3 2 6" xfId="6254"/>
    <cellStyle name="Comma 3 3" xfId="411"/>
    <cellStyle name="Comma 3 3 2" xfId="2039"/>
    <cellStyle name="Comma 3 3 2 2" xfId="3166"/>
    <cellStyle name="Comma 3 3 2 2 2" xfId="7598"/>
    <cellStyle name="Comma 3 3 2 3" xfId="6746"/>
    <cellStyle name="Comma 3 3 3" xfId="2656"/>
    <cellStyle name="Comma 3 3 3 2" xfId="7101"/>
    <cellStyle name="Comma 3 3 4" xfId="1240"/>
    <cellStyle name="Comma 3 3 5" xfId="6257"/>
    <cellStyle name="Comma 3 4" xfId="412"/>
    <cellStyle name="Comma 3 4 2" xfId="2040"/>
    <cellStyle name="Comma 3 4 2 2" xfId="3167"/>
    <cellStyle name="Comma 3 4 2 2 2" xfId="7599"/>
    <cellStyle name="Comma 3 4 2 3" xfId="6747"/>
    <cellStyle name="Comma 3 4 3" xfId="1309"/>
    <cellStyle name="Comma 3 5" xfId="413"/>
    <cellStyle name="Comma 3 5 2" xfId="2041"/>
    <cellStyle name="Comma 3 5 3" xfId="1932"/>
    <cellStyle name="Comma 3 6" xfId="1043"/>
    <cellStyle name="Comma 3 6 2" xfId="2646"/>
    <cellStyle name="Comma 3 6 3" xfId="7091"/>
    <cellStyle name="Comma 3 7" xfId="3597"/>
    <cellStyle name="Comma 3 8" xfId="3805"/>
    <cellStyle name="Comma 3 8 2" xfId="8194"/>
    <cellStyle name="Comma 3 9" xfId="4191"/>
    <cellStyle name="Comma 3 9 2" xfId="8552"/>
    <cellStyle name="Comma 4" xfId="414"/>
    <cellStyle name="Comma 4 2" xfId="415"/>
    <cellStyle name="Comma 4 2 2" xfId="974"/>
    <cellStyle name="Comma 4 2 2 2" xfId="1100"/>
    <cellStyle name="Comma 4 3" xfId="416"/>
    <cellStyle name="Comma 4 3 2" xfId="2042"/>
    <cellStyle name="Comma 4 3 3" xfId="1310"/>
    <cellStyle name="Comma 4 4" xfId="417"/>
    <cellStyle name="Comma 4 4 2" xfId="2043"/>
    <cellStyle name="Comma 4 4 3" xfId="1931"/>
    <cellStyle name="Comma 4 5" xfId="418"/>
    <cellStyle name="Comma 5" xfId="419"/>
    <cellStyle name="Comma 5 2" xfId="420"/>
    <cellStyle name="Comma 5 2 2" xfId="2045"/>
    <cellStyle name="Comma 5 2 3" xfId="1311"/>
    <cellStyle name="Comma 5 3" xfId="421"/>
    <cellStyle name="Comma 5 4" xfId="422"/>
    <cellStyle name="Comma 5 5" xfId="2044"/>
    <cellStyle name="Comma 6" xfId="423"/>
    <cellStyle name="Comma 6 2" xfId="424"/>
    <cellStyle name="Comma 6 3" xfId="425"/>
    <cellStyle name="Comma 6 4" xfId="1117"/>
    <cellStyle name="Comma 6 4 2" xfId="2046"/>
    <cellStyle name="Comma 7" xfId="426"/>
    <cellStyle name="Comma 7 2" xfId="427"/>
    <cellStyle name="Comma 8" xfId="428"/>
    <cellStyle name="Comma 8 2" xfId="429"/>
    <cellStyle name="Comma 8 3" xfId="2047"/>
    <cellStyle name="Comma 9" xfId="430"/>
    <cellStyle name="Comma 9 2" xfId="431"/>
    <cellStyle name="Comma 9 3" xfId="2048"/>
    <cellStyle name="Comma 9 4" xfId="1312"/>
    <cellStyle name="Date" xfId="432"/>
    <cellStyle name="Dezimal [0]_laroux" xfId="433"/>
    <cellStyle name="Dezimal_laroux" xfId="434"/>
    <cellStyle name="Emphasis 1" xfId="435"/>
    <cellStyle name="Emphasis 1 2" xfId="436"/>
    <cellStyle name="Emphasis 1 2 2" xfId="2049"/>
    <cellStyle name="Emphasis 1 2 3" xfId="1313"/>
    <cellStyle name="Emphasis 2" xfId="437"/>
    <cellStyle name="Emphasis 2 2" xfId="438"/>
    <cellStyle name="Emphasis 2 2 2" xfId="2050"/>
    <cellStyle name="Emphasis 2 2 3" xfId="1314"/>
    <cellStyle name="Emphasis 3" xfId="439"/>
    <cellStyle name="Emphasis 3 2" xfId="440"/>
    <cellStyle name="Emphasis 3 2 2" xfId="2051"/>
    <cellStyle name="Emphasis 3 2 3" xfId="1315"/>
    <cellStyle name="Euro" xfId="441"/>
    <cellStyle name="Euro 2" xfId="442"/>
    <cellStyle name="Euro 2 2" xfId="443"/>
    <cellStyle name="Euro 2 2 2" xfId="1101"/>
    <cellStyle name="Euro 2 3" xfId="444"/>
    <cellStyle name="Euro 3" xfId="445"/>
    <cellStyle name="Euro 3 2" xfId="1102"/>
    <cellStyle name="Euro 3 2 2" xfId="2053"/>
    <cellStyle name="Euro 3 3" xfId="1316"/>
    <cellStyle name="Euro 4" xfId="2052"/>
    <cellStyle name="Excel.Chart" xfId="446"/>
    <cellStyle name="Explanatory Text" xfId="10975" builtinId="53" customBuiltin="1"/>
    <cellStyle name="Explanatory Text 2" xfId="447"/>
    <cellStyle name="Explanatory Text 2 2" xfId="448"/>
    <cellStyle name="Explanatory Text 2 2 2" xfId="1175"/>
    <cellStyle name="Explanatory Text 2 2 2 2" xfId="2054"/>
    <cellStyle name="Explanatory Text 2 2 3" xfId="1317"/>
    <cellStyle name="Explanatory Text 2 3" xfId="449"/>
    <cellStyle name="Explanatory Text 3" xfId="450"/>
    <cellStyle name="Explanatory Text 3 2" xfId="2055"/>
    <cellStyle name="Explanatory Text 3 3" xfId="1930"/>
    <cellStyle name="Explanatory Text 4" xfId="5567"/>
    <cellStyle name="Fixed" xfId="451"/>
    <cellStyle name="Fixed 2" xfId="452"/>
    <cellStyle name="Fixed 3" xfId="453"/>
    <cellStyle name="Good" xfId="10966" builtinId="26" customBuiltin="1"/>
    <cellStyle name="Good 2" xfId="454"/>
    <cellStyle name="Good 2 2" xfId="455"/>
    <cellStyle name="Good 2 2 2" xfId="456"/>
    <cellStyle name="Good 2 2 3" xfId="2056"/>
    <cellStyle name="Good 2 2 4" xfId="1318"/>
    <cellStyle name="Good 2 3" xfId="457"/>
    <cellStyle name="Good 2 3 2" xfId="458"/>
    <cellStyle name="Good 2 4" xfId="459"/>
    <cellStyle name="Good 3" xfId="460"/>
    <cellStyle name="Good 3 2" xfId="461"/>
    <cellStyle name="Good 3 3" xfId="2057"/>
    <cellStyle name="Good 3 4" xfId="1929"/>
    <cellStyle name="Good 4" xfId="462"/>
    <cellStyle name="Good 5" xfId="463"/>
    <cellStyle name="Good 6" xfId="464"/>
    <cellStyle name="Good 7" xfId="5568"/>
    <cellStyle name="Heading 1" xfId="10962" builtinId="16" customBuiltin="1"/>
    <cellStyle name="Heading 1 2" xfId="465"/>
    <cellStyle name="Heading 1 2 2" xfId="466"/>
    <cellStyle name="Heading 1 2 2 2" xfId="467"/>
    <cellStyle name="Heading 1 2 2 3" xfId="2058"/>
    <cellStyle name="Heading 1 2 2 4" xfId="1319"/>
    <cellStyle name="Heading 1 2 3" xfId="468"/>
    <cellStyle name="Heading 1 2 3 2" xfId="469"/>
    <cellStyle name="Heading 1 2 4" xfId="470"/>
    <cellStyle name="Heading 1 3" xfId="471"/>
    <cellStyle name="Heading 1 3 2" xfId="472"/>
    <cellStyle name="Heading 1 4" xfId="473"/>
    <cellStyle name="Heading 1 5" xfId="474"/>
    <cellStyle name="Heading 1 6" xfId="475"/>
    <cellStyle name="Heading 1 7" xfId="5569"/>
    <cellStyle name="Heading 2" xfId="10963" builtinId="17" customBuiltin="1"/>
    <cellStyle name="Heading 2 2" xfId="476"/>
    <cellStyle name="Heading 2 2 2" xfId="477"/>
    <cellStyle name="Heading 2 2 2 2" xfId="478"/>
    <cellStyle name="Heading 2 2 2 3" xfId="2059"/>
    <cellStyle name="Heading 2 2 2 4" xfId="1320"/>
    <cellStyle name="Heading 2 2 3" xfId="479"/>
    <cellStyle name="Heading 2 2 3 2" xfId="480"/>
    <cellStyle name="Heading 2 2 4" xfId="481"/>
    <cellStyle name="Heading 2 3" xfId="482"/>
    <cellStyle name="Heading 2 3 2" xfId="483"/>
    <cellStyle name="Heading 2 4" xfId="484"/>
    <cellStyle name="Heading 2 5" xfId="485"/>
    <cellStyle name="Heading 2 6" xfId="486"/>
    <cellStyle name="Heading 2 7" xfId="5570"/>
    <cellStyle name="Heading 3" xfId="10964" builtinId="18" customBuiltin="1"/>
    <cellStyle name="Heading 3 2" xfId="487"/>
    <cellStyle name="Heading 3 2 2" xfId="488"/>
    <cellStyle name="Heading 3 2 2 2" xfId="489"/>
    <cellStyle name="Heading 3 2 2 3" xfId="2060"/>
    <cellStyle name="Heading 3 2 2 4" xfId="1321"/>
    <cellStyle name="Heading 3 2 3" xfId="490"/>
    <cellStyle name="Heading 3 2 3 2" xfId="491"/>
    <cellStyle name="Heading 3 2 4" xfId="492"/>
    <cellStyle name="Heading 3 3" xfId="493"/>
    <cellStyle name="Heading 3 3 2" xfId="494"/>
    <cellStyle name="Heading 3 4" xfId="495"/>
    <cellStyle name="Heading 3 5" xfId="496"/>
    <cellStyle name="Heading 3 6" xfId="497"/>
    <cellStyle name="Heading 3 7" xfId="5571"/>
    <cellStyle name="Heading 4" xfId="10965" builtinId="19" customBuiltin="1"/>
    <cellStyle name="Heading 4 2" xfId="498"/>
    <cellStyle name="Heading 4 2 2" xfId="499"/>
    <cellStyle name="Heading 4 2 2 2" xfId="500"/>
    <cellStyle name="Heading 4 2 2 3" xfId="2061"/>
    <cellStyle name="Heading 4 2 2 4" xfId="1322"/>
    <cellStyle name="Heading 4 2 3" xfId="501"/>
    <cellStyle name="Heading 4 2 3 2" xfId="502"/>
    <cellStyle name="Heading 4 2 4" xfId="503"/>
    <cellStyle name="Heading 4 3" xfId="504"/>
    <cellStyle name="Heading 4 3 2" xfId="505"/>
    <cellStyle name="Heading 4 4" xfId="506"/>
    <cellStyle name="Heading 4 5" xfId="507"/>
    <cellStyle name="Heading 4 6" xfId="508"/>
    <cellStyle name="Heading 4 7" xfId="5572"/>
    <cellStyle name="Heading1" xfId="509"/>
    <cellStyle name="Heading1 2" xfId="510"/>
    <cellStyle name="Heading1 3" xfId="511"/>
    <cellStyle name="Heading2" xfId="512"/>
    <cellStyle name="Heading2 2" xfId="513"/>
    <cellStyle name="Heading2 3" xfId="514"/>
    <cellStyle name="Hyperlink 2" xfId="515"/>
    <cellStyle name="Hyperlink 3" xfId="516"/>
    <cellStyle name="Hyperlink 4" xfId="517"/>
    <cellStyle name="Hyperlink 5" xfId="5130"/>
    <cellStyle name="Îáû÷íûé_AMD" xfId="518"/>
    <cellStyle name="imf-one decimal" xfId="519"/>
    <cellStyle name="imf-one decimal 2" xfId="520"/>
    <cellStyle name="imf-zero decimal" xfId="521"/>
    <cellStyle name="Input" xfId="10969" builtinId="20" customBuiltin="1"/>
    <cellStyle name="Input 10" xfId="5573"/>
    <cellStyle name="Input 10 2" xfId="9777"/>
    <cellStyle name="Input 10 3" xfId="10690"/>
    <cellStyle name="Input 11" xfId="5574"/>
    <cellStyle name="Input 11 2" xfId="9778"/>
    <cellStyle name="Input 11 3" xfId="10691"/>
    <cellStyle name="Input 12" xfId="5575"/>
    <cellStyle name="Input 12 2" xfId="9779"/>
    <cellStyle name="Input 12 3" xfId="10692"/>
    <cellStyle name="Input 13" xfId="5576"/>
    <cellStyle name="Input 13 2" xfId="9780"/>
    <cellStyle name="Input 13 3" xfId="10693"/>
    <cellStyle name="Input 14" xfId="6238"/>
    <cellStyle name="Input 15" xfId="11016"/>
    <cellStyle name="Input 2" xfId="522"/>
    <cellStyle name="Input 2 2" xfId="523"/>
    <cellStyle name="Input 2 2 10" xfId="5577"/>
    <cellStyle name="Input 2 2 10 2" xfId="9781"/>
    <cellStyle name="Input 2 2 10 3" xfId="10694"/>
    <cellStyle name="Input 2 2 11" xfId="5578"/>
    <cellStyle name="Input 2 2 11 2" xfId="9782"/>
    <cellStyle name="Input 2 2 11 3" xfId="10695"/>
    <cellStyle name="Input 2 2 12" xfId="1323"/>
    <cellStyle name="Input 2 2 13" xfId="8548"/>
    <cellStyle name="Input 2 2 2" xfId="524"/>
    <cellStyle name="Input 2 2 2 10" xfId="2063"/>
    <cellStyle name="Input 2 2 2 11" xfId="6749"/>
    <cellStyle name="Input 2 2 2 12" xfId="9708"/>
    <cellStyle name="Input 2 2 2 2" xfId="3175"/>
    <cellStyle name="Input 2 2 2 2 2" xfId="7604"/>
    <cellStyle name="Input 2 2 2 2 3" xfId="10494"/>
    <cellStyle name="Input 2 2 2 3" xfId="3539"/>
    <cellStyle name="Input 2 2 2 3 2" xfId="7959"/>
    <cellStyle name="Input 2 2 2 3 3" xfId="10563"/>
    <cellStyle name="Input 2 2 2 4" xfId="3244"/>
    <cellStyle name="Input 2 2 2 4 2" xfId="7666"/>
    <cellStyle name="Input 2 2 2 4 3" xfId="10532"/>
    <cellStyle name="Input 2 2 2 5" xfId="5579"/>
    <cellStyle name="Input 2 2 2 5 2" xfId="9783"/>
    <cellStyle name="Input 2 2 2 5 3" xfId="10696"/>
    <cellStyle name="Input 2 2 2 6" xfId="5580"/>
    <cellStyle name="Input 2 2 2 6 2" xfId="9784"/>
    <cellStyle name="Input 2 2 2 6 3" xfId="10697"/>
    <cellStyle name="Input 2 2 2 7" xfId="5581"/>
    <cellStyle name="Input 2 2 2 7 2" xfId="9785"/>
    <cellStyle name="Input 2 2 2 7 3" xfId="10698"/>
    <cellStyle name="Input 2 2 2 8" xfId="5582"/>
    <cellStyle name="Input 2 2 2 8 2" xfId="9786"/>
    <cellStyle name="Input 2 2 2 8 3" xfId="10699"/>
    <cellStyle name="Input 2 2 2 9" xfId="5583"/>
    <cellStyle name="Input 2 2 2 9 2" xfId="9787"/>
    <cellStyle name="Input 2 2 2 9 3" xfId="10700"/>
    <cellStyle name="Input 2 2 3" xfId="2062"/>
    <cellStyle name="Input 2 2 3 10" xfId="6748"/>
    <cellStyle name="Input 2 2 3 11" xfId="6230"/>
    <cellStyle name="Input 2 2 3 2" xfId="3174"/>
    <cellStyle name="Input 2 2 3 2 2" xfId="7603"/>
    <cellStyle name="Input 2 2 3 2 3" xfId="10493"/>
    <cellStyle name="Input 2 2 3 3" xfId="3538"/>
    <cellStyle name="Input 2 2 3 3 2" xfId="7958"/>
    <cellStyle name="Input 2 2 3 3 3" xfId="10562"/>
    <cellStyle name="Input 2 2 3 4" xfId="2638"/>
    <cellStyle name="Input 2 2 3 4 2" xfId="7084"/>
    <cellStyle name="Input 2 2 3 4 3" xfId="10436"/>
    <cellStyle name="Input 2 2 3 5" xfId="5584"/>
    <cellStyle name="Input 2 2 3 5 2" xfId="9788"/>
    <cellStyle name="Input 2 2 3 5 3" xfId="10701"/>
    <cellStyle name="Input 2 2 3 6" xfId="5585"/>
    <cellStyle name="Input 2 2 3 6 2" xfId="9789"/>
    <cellStyle name="Input 2 2 3 6 3" xfId="10702"/>
    <cellStyle name="Input 2 2 3 7" xfId="5586"/>
    <cellStyle name="Input 2 2 3 7 2" xfId="9790"/>
    <cellStyle name="Input 2 2 3 7 3" xfId="10703"/>
    <cellStyle name="Input 2 2 3 8" xfId="5587"/>
    <cellStyle name="Input 2 2 3 8 2" xfId="9791"/>
    <cellStyle name="Input 2 2 3 8 3" xfId="10704"/>
    <cellStyle name="Input 2 2 3 9" xfId="5588"/>
    <cellStyle name="Input 2 2 3 9 2" xfId="9792"/>
    <cellStyle name="Input 2 2 3 9 3" xfId="10705"/>
    <cellStyle name="Input 2 2 4" xfId="2674"/>
    <cellStyle name="Input 2 2 4 2" xfId="7116"/>
    <cellStyle name="Input 2 2 4 3" xfId="10450"/>
    <cellStyle name="Input 2 2 5" xfId="3199"/>
    <cellStyle name="Input 2 2 5 2" xfId="7625"/>
    <cellStyle name="Input 2 2 5 3" xfId="10508"/>
    <cellStyle name="Input 2 2 6" xfId="3559"/>
    <cellStyle name="Input 2 2 6 2" xfId="7979"/>
    <cellStyle name="Input 2 2 6 3" xfId="10583"/>
    <cellStyle name="Input 2 2 7" xfId="5589"/>
    <cellStyle name="Input 2 2 7 2" xfId="9793"/>
    <cellStyle name="Input 2 2 7 3" xfId="10706"/>
    <cellStyle name="Input 2 2 8" xfId="5590"/>
    <cellStyle name="Input 2 2 8 2" xfId="9794"/>
    <cellStyle name="Input 2 2 8 3" xfId="10707"/>
    <cellStyle name="Input 2 2 9" xfId="5591"/>
    <cellStyle name="Input 2 2 9 2" xfId="9795"/>
    <cellStyle name="Input 2 2 9 3" xfId="10708"/>
    <cellStyle name="Input 2 3" xfId="525"/>
    <cellStyle name="Input 2 3 10" xfId="5592"/>
    <cellStyle name="Input 2 3 10 2" xfId="9796"/>
    <cellStyle name="Input 2 3 10 3" xfId="10709"/>
    <cellStyle name="Input 2 3 11" xfId="5593"/>
    <cellStyle name="Input 2 3 11 2" xfId="9797"/>
    <cellStyle name="Input 2 3 11 3" xfId="10710"/>
    <cellStyle name="Input 2 3 12" xfId="1459"/>
    <cellStyle name="Input 2 3 13" xfId="6357"/>
    <cellStyle name="Input 2 3 14" xfId="6284"/>
    <cellStyle name="Input 2 3 2" xfId="526"/>
    <cellStyle name="Input 2 3 2 10" xfId="2065"/>
    <cellStyle name="Input 2 3 2 11" xfId="6750"/>
    <cellStyle name="Input 2 3 2 12" xfId="6723"/>
    <cellStyle name="Input 2 3 2 2" xfId="3176"/>
    <cellStyle name="Input 2 3 2 2 2" xfId="7605"/>
    <cellStyle name="Input 2 3 2 2 3" xfId="10495"/>
    <cellStyle name="Input 2 3 2 3" xfId="3540"/>
    <cellStyle name="Input 2 3 2 3 2" xfId="7960"/>
    <cellStyle name="Input 2 3 2 3 3" xfId="10564"/>
    <cellStyle name="Input 2 3 2 4" xfId="3219"/>
    <cellStyle name="Input 2 3 2 4 2" xfId="7642"/>
    <cellStyle name="Input 2 3 2 4 3" xfId="10510"/>
    <cellStyle name="Input 2 3 2 5" xfId="5594"/>
    <cellStyle name="Input 2 3 2 5 2" xfId="9798"/>
    <cellStyle name="Input 2 3 2 5 3" xfId="10711"/>
    <cellStyle name="Input 2 3 2 6" xfId="5595"/>
    <cellStyle name="Input 2 3 2 6 2" xfId="9799"/>
    <cellStyle name="Input 2 3 2 6 3" xfId="10712"/>
    <cellStyle name="Input 2 3 2 7" xfId="5596"/>
    <cellStyle name="Input 2 3 2 7 2" xfId="9800"/>
    <cellStyle name="Input 2 3 2 7 3" xfId="10713"/>
    <cellStyle name="Input 2 3 2 8" xfId="5597"/>
    <cellStyle name="Input 2 3 2 8 2" xfId="9801"/>
    <cellStyle name="Input 2 3 2 8 3" xfId="10714"/>
    <cellStyle name="Input 2 3 2 9" xfId="5598"/>
    <cellStyle name="Input 2 3 2 9 2" xfId="9802"/>
    <cellStyle name="Input 2 3 2 9 3" xfId="10715"/>
    <cellStyle name="Input 2 3 3" xfId="2064"/>
    <cellStyle name="Input 2 3 4" xfId="2768"/>
    <cellStyle name="Input 2 3 4 2" xfId="7209"/>
    <cellStyle name="Input 2 3 4 3" xfId="10455"/>
    <cellStyle name="Input 2 3 5" xfId="3187"/>
    <cellStyle name="Input 2 3 5 2" xfId="7613"/>
    <cellStyle name="Input 2 3 5 3" xfId="10503"/>
    <cellStyle name="Input 2 3 6" xfId="3591"/>
    <cellStyle name="Input 2 3 6 2" xfId="8009"/>
    <cellStyle name="Input 2 3 6 3" xfId="10613"/>
    <cellStyle name="Input 2 3 7" xfId="5599"/>
    <cellStyle name="Input 2 3 7 2" xfId="9803"/>
    <cellStyle name="Input 2 3 7 3" xfId="10716"/>
    <cellStyle name="Input 2 3 8" xfId="5600"/>
    <cellStyle name="Input 2 3 8 2" xfId="9804"/>
    <cellStyle name="Input 2 3 8 3" xfId="10717"/>
    <cellStyle name="Input 2 3 9" xfId="5601"/>
    <cellStyle name="Input 2 3 9 2" xfId="9805"/>
    <cellStyle name="Input 2 3 9 3" xfId="10718"/>
    <cellStyle name="Input 2 4" xfId="527"/>
    <cellStyle name="Input 2 4 10" xfId="2066"/>
    <cellStyle name="Input 2 4 11" xfId="6751"/>
    <cellStyle name="Input 2 4 12" xfId="6646"/>
    <cellStyle name="Input 2 4 2" xfId="3177"/>
    <cellStyle name="Input 2 4 2 2" xfId="7606"/>
    <cellStyle name="Input 2 4 2 3" xfId="10496"/>
    <cellStyle name="Input 2 4 3" xfId="3541"/>
    <cellStyle name="Input 2 4 3 2" xfId="7961"/>
    <cellStyle name="Input 2 4 3 3" xfId="10565"/>
    <cellStyle name="Input 2 4 4" xfId="3245"/>
    <cellStyle name="Input 2 4 4 2" xfId="7667"/>
    <cellStyle name="Input 2 4 4 3" xfId="10533"/>
    <cellStyle name="Input 2 4 5" xfId="5602"/>
    <cellStyle name="Input 2 4 5 2" xfId="9806"/>
    <cellStyle name="Input 2 4 5 3" xfId="10719"/>
    <cellStyle name="Input 2 4 6" xfId="5603"/>
    <cellStyle name="Input 2 4 6 2" xfId="9807"/>
    <cellStyle name="Input 2 4 6 3" xfId="10720"/>
    <cellStyle name="Input 2 4 7" xfId="5604"/>
    <cellStyle name="Input 2 4 7 2" xfId="9808"/>
    <cellStyle name="Input 2 4 7 3" xfId="10721"/>
    <cellStyle name="Input 2 4 8" xfId="5605"/>
    <cellStyle name="Input 2 4 8 2" xfId="9809"/>
    <cellStyle name="Input 2 4 8 3" xfId="10722"/>
    <cellStyle name="Input 2 4 9" xfId="5606"/>
    <cellStyle name="Input 2 4 9 2" xfId="9810"/>
    <cellStyle name="Input 2 4 9 3" xfId="10723"/>
    <cellStyle name="Input 2 5" xfId="3703"/>
    <cellStyle name="Input 2 5 2" xfId="8101"/>
    <cellStyle name="Input 2 5 3" xfId="10615"/>
    <cellStyle name="Input 2 6" xfId="5231"/>
    <cellStyle name="Input 2 6 2" xfId="9530"/>
    <cellStyle name="Input 2 6 3" xfId="10620"/>
    <cellStyle name="Input 3" xfId="528"/>
    <cellStyle name="Input 3 10" xfId="5607"/>
    <cellStyle name="Input 3 10 2" xfId="9811"/>
    <cellStyle name="Input 3 10 3" xfId="10724"/>
    <cellStyle name="Input 3 11" xfId="5608"/>
    <cellStyle name="Input 3 11 2" xfId="9812"/>
    <cellStyle name="Input 3 11 3" xfId="10725"/>
    <cellStyle name="Input 3 12" xfId="1927"/>
    <cellStyle name="Input 3 13" xfId="6719"/>
    <cellStyle name="Input 3 14" xfId="6734"/>
    <cellStyle name="Input 3 2" xfId="529"/>
    <cellStyle name="Input 3 2 10" xfId="2068"/>
    <cellStyle name="Input 3 2 11" xfId="6753"/>
    <cellStyle name="Input 3 2 12" xfId="6645"/>
    <cellStyle name="Input 3 2 2" xfId="3179"/>
    <cellStyle name="Input 3 2 2 2" xfId="7608"/>
    <cellStyle name="Input 3 2 2 3" xfId="10498"/>
    <cellStyle name="Input 3 2 3" xfId="3543"/>
    <cellStyle name="Input 3 2 3 2" xfId="7963"/>
    <cellStyle name="Input 3 2 3 3" xfId="10567"/>
    <cellStyle name="Input 3 2 4" xfId="3537"/>
    <cellStyle name="Input 3 2 4 2" xfId="7957"/>
    <cellStyle name="Input 3 2 4 3" xfId="10561"/>
    <cellStyle name="Input 3 2 5" xfId="5609"/>
    <cellStyle name="Input 3 2 5 2" xfId="9813"/>
    <cellStyle name="Input 3 2 5 3" xfId="10726"/>
    <cellStyle name="Input 3 2 6" xfId="5610"/>
    <cellStyle name="Input 3 2 6 2" xfId="9814"/>
    <cellStyle name="Input 3 2 6 3" xfId="10727"/>
    <cellStyle name="Input 3 2 7" xfId="5611"/>
    <cellStyle name="Input 3 2 7 2" xfId="9815"/>
    <cellStyle name="Input 3 2 7 3" xfId="10728"/>
    <cellStyle name="Input 3 2 8" xfId="5612"/>
    <cellStyle name="Input 3 2 8 2" xfId="9816"/>
    <cellStyle name="Input 3 2 8 3" xfId="10729"/>
    <cellStyle name="Input 3 2 9" xfId="5613"/>
    <cellStyle name="Input 3 2 9 2" xfId="9817"/>
    <cellStyle name="Input 3 2 9 3" xfId="10730"/>
    <cellStyle name="Input 3 3" xfId="2067"/>
    <cellStyle name="Input 3 3 10" xfId="6752"/>
    <cellStyle name="Input 3 3 11" xfId="6262"/>
    <cellStyle name="Input 3 3 2" xfId="3178"/>
    <cellStyle name="Input 3 3 2 2" xfId="7607"/>
    <cellStyle name="Input 3 3 2 3" xfId="10497"/>
    <cellStyle name="Input 3 3 3" xfId="3542"/>
    <cellStyle name="Input 3 3 3 2" xfId="7962"/>
    <cellStyle name="Input 3 3 3 3" xfId="10566"/>
    <cellStyle name="Input 3 3 4" xfId="3536"/>
    <cellStyle name="Input 3 3 4 2" xfId="7956"/>
    <cellStyle name="Input 3 3 4 3" xfId="10560"/>
    <cellStyle name="Input 3 3 5" xfId="5614"/>
    <cellStyle name="Input 3 3 5 2" xfId="9818"/>
    <cellStyle name="Input 3 3 5 3" xfId="10731"/>
    <cellStyle name="Input 3 3 6" xfId="5615"/>
    <cellStyle name="Input 3 3 6 2" xfId="9819"/>
    <cellStyle name="Input 3 3 6 3" xfId="10732"/>
    <cellStyle name="Input 3 3 7" xfId="5616"/>
    <cellStyle name="Input 3 3 7 2" xfId="9820"/>
    <cellStyle name="Input 3 3 7 3" xfId="10733"/>
    <cellStyle name="Input 3 3 8" xfId="5617"/>
    <cellStyle name="Input 3 3 8 2" xfId="9821"/>
    <cellStyle name="Input 3 3 8 3" xfId="10734"/>
    <cellStyle name="Input 3 3 9" xfId="5618"/>
    <cellStyle name="Input 3 3 9 2" xfId="9822"/>
    <cellStyle name="Input 3 3 9 3" xfId="10735"/>
    <cellStyle name="Input 3 4" xfId="3138"/>
    <cellStyle name="Input 3 4 2" xfId="7575"/>
    <cellStyle name="Input 3 4 3" xfId="10470"/>
    <cellStyle name="Input 3 5" xfId="3147"/>
    <cellStyle name="Input 3 5 2" xfId="7581"/>
    <cellStyle name="Input 3 5 3" xfId="10475"/>
    <cellStyle name="Input 3 6" xfId="2672"/>
    <cellStyle name="Input 3 6 2" xfId="7114"/>
    <cellStyle name="Input 3 6 3" xfId="10448"/>
    <cellStyle name="Input 3 7" xfId="5619"/>
    <cellStyle name="Input 3 7 2" xfId="9823"/>
    <cellStyle name="Input 3 7 3" xfId="10736"/>
    <cellStyle name="Input 3 8" xfId="5620"/>
    <cellStyle name="Input 3 8 2" xfId="9824"/>
    <cellStyle name="Input 3 8 3" xfId="10737"/>
    <cellStyle name="Input 3 9" xfId="5621"/>
    <cellStyle name="Input 3 9 2" xfId="9825"/>
    <cellStyle name="Input 3 9 3" xfId="10738"/>
    <cellStyle name="Input 4" xfId="530"/>
    <cellStyle name="Input 4 10" xfId="2069"/>
    <cellStyle name="Input 4 11" xfId="6754"/>
    <cellStyle name="Input 4 12" xfId="6263"/>
    <cellStyle name="Input 4 2" xfId="3180"/>
    <cellStyle name="Input 4 2 2" xfId="7609"/>
    <cellStyle name="Input 4 2 3" xfId="10499"/>
    <cellStyle name="Input 4 3" xfId="3544"/>
    <cellStyle name="Input 4 3 2" xfId="7964"/>
    <cellStyle name="Input 4 3 3" xfId="10568"/>
    <cellStyle name="Input 4 4" xfId="2694"/>
    <cellStyle name="Input 4 4 2" xfId="7135"/>
    <cellStyle name="Input 4 4 3" xfId="10451"/>
    <cellStyle name="Input 4 5" xfId="5622"/>
    <cellStyle name="Input 4 5 2" xfId="9826"/>
    <cellStyle name="Input 4 5 3" xfId="10739"/>
    <cellStyle name="Input 4 6" xfId="5623"/>
    <cellStyle name="Input 4 6 2" xfId="9827"/>
    <cellStyle name="Input 4 6 3" xfId="10740"/>
    <cellStyle name="Input 4 7" xfId="5624"/>
    <cellStyle name="Input 4 7 2" xfId="9828"/>
    <cellStyle name="Input 4 7 3" xfId="10741"/>
    <cellStyle name="Input 4 8" xfId="5625"/>
    <cellStyle name="Input 4 8 2" xfId="9829"/>
    <cellStyle name="Input 4 8 3" xfId="10742"/>
    <cellStyle name="Input 4 9" xfId="5626"/>
    <cellStyle name="Input 4 9 2" xfId="9830"/>
    <cellStyle name="Input 4 9 3" xfId="10743"/>
    <cellStyle name="Input 5" xfId="531"/>
    <cellStyle name="Input 5 10" xfId="2070"/>
    <cellStyle name="Input 5 11" xfId="6755"/>
    <cellStyle name="Input 5 12" xfId="6260"/>
    <cellStyle name="Input 5 2" xfId="3181"/>
    <cellStyle name="Input 5 2 2" xfId="7610"/>
    <cellStyle name="Input 5 2 3" xfId="10500"/>
    <cellStyle name="Input 5 3" xfId="3545"/>
    <cellStyle name="Input 5 3 2" xfId="7965"/>
    <cellStyle name="Input 5 3 3" xfId="10569"/>
    <cellStyle name="Input 5 4" xfId="3534"/>
    <cellStyle name="Input 5 4 2" xfId="7954"/>
    <cellStyle name="Input 5 4 3" xfId="10558"/>
    <cellStyle name="Input 5 5" xfId="5627"/>
    <cellStyle name="Input 5 5 2" xfId="9831"/>
    <cellStyle name="Input 5 5 3" xfId="10744"/>
    <cellStyle name="Input 5 6" xfId="5628"/>
    <cellStyle name="Input 5 6 2" xfId="9832"/>
    <cellStyle name="Input 5 6 3" xfId="10745"/>
    <cellStyle name="Input 5 7" xfId="5629"/>
    <cellStyle name="Input 5 7 2" xfId="9833"/>
    <cellStyle name="Input 5 7 3" xfId="10746"/>
    <cellStyle name="Input 5 8" xfId="5630"/>
    <cellStyle name="Input 5 8 2" xfId="9834"/>
    <cellStyle name="Input 5 8 3" xfId="10747"/>
    <cellStyle name="Input 5 9" xfId="5631"/>
    <cellStyle name="Input 5 9 2" xfId="9835"/>
    <cellStyle name="Input 5 9 3" xfId="10748"/>
    <cellStyle name="Input 6" xfId="532"/>
    <cellStyle name="Input 6 10" xfId="2071"/>
    <cellStyle name="Input 6 11" xfId="6756"/>
    <cellStyle name="Input 6 12" xfId="6229"/>
    <cellStyle name="Input 6 2" xfId="3182"/>
    <cellStyle name="Input 6 2 2" xfId="7611"/>
    <cellStyle name="Input 6 2 3" xfId="10501"/>
    <cellStyle name="Input 6 3" xfId="3546"/>
    <cellStyle name="Input 6 3 2" xfId="7966"/>
    <cellStyle name="Input 6 3 3" xfId="10570"/>
    <cellStyle name="Input 6 4" xfId="3535"/>
    <cellStyle name="Input 6 4 2" xfId="7955"/>
    <cellStyle name="Input 6 4 3" xfId="10559"/>
    <cellStyle name="Input 6 5" xfId="5632"/>
    <cellStyle name="Input 6 5 2" xfId="9836"/>
    <cellStyle name="Input 6 5 3" xfId="10749"/>
    <cellStyle name="Input 6 6" xfId="5633"/>
    <cellStyle name="Input 6 6 2" xfId="9837"/>
    <cellStyle name="Input 6 6 3" xfId="10750"/>
    <cellStyle name="Input 6 7" xfId="5634"/>
    <cellStyle name="Input 6 7 2" xfId="9838"/>
    <cellStyle name="Input 6 7 3" xfId="10751"/>
    <cellStyle name="Input 6 8" xfId="5635"/>
    <cellStyle name="Input 6 8 2" xfId="9839"/>
    <cellStyle name="Input 6 8 3" xfId="10752"/>
    <cellStyle name="Input 6 9" xfId="5636"/>
    <cellStyle name="Input 6 9 2" xfId="9840"/>
    <cellStyle name="Input 6 9 3" xfId="10753"/>
    <cellStyle name="Input 7" xfId="2636"/>
    <cellStyle name="Input 7 2" xfId="7082"/>
    <cellStyle name="Input 7 3" xfId="10434"/>
    <cellStyle name="Input 8" xfId="5637"/>
    <cellStyle name="Input 8 2" xfId="9841"/>
    <cellStyle name="Input 8 3" xfId="10754"/>
    <cellStyle name="Input 9" xfId="5638"/>
    <cellStyle name="Input 9 2" xfId="9842"/>
    <cellStyle name="Input 9 3" xfId="10755"/>
    <cellStyle name="Linked Cell" xfId="10972" builtinId="24" customBuiltin="1"/>
    <cellStyle name="Linked Cell 2" xfId="533"/>
    <cellStyle name="Linked Cell 2 2" xfId="534"/>
    <cellStyle name="Linked Cell 2 2 2" xfId="535"/>
    <cellStyle name="Linked Cell 2 2 3" xfId="2072"/>
    <cellStyle name="Linked Cell 2 2 4" xfId="1324"/>
    <cellStyle name="Linked Cell 2 3" xfId="536"/>
    <cellStyle name="Linked Cell 2 3 2" xfId="537"/>
    <cellStyle name="Linked Cell 2 4" xfId="538"/>
    <cellStyle name="Linked Cell 3" xfId="539"/>
    <cellStyle name="Linked Cell 3 2" xfId="540"/>
    <cellStyle name="Linked Cell 3 3" xfId="2073"/>
    <cellStyle name="Linked Cell 3 4" xfId="1926"/>
    <cellStyle name="Linked Cell 4" xfId="541"/>
    <cellStyle name="Linked Cell 5" xfId="542"/>
    <cellStyle name="Linked Cell 6" xfId="543"/>
    <cellStyle name="Linked Cell 7" xfId="5639"/>
    <cellStyle name="Millares [0]_11.1.3. bis" xfId="544"/>
    <cellStyle name="Millares_11.1.3. bis" xfId="545"/>
    <cellStyle name="Milliers [0]_Encours - Apr rééch" xfId="546"/>
    <cellStyle name="Milliers_Encours - Apr rééch" xfId="547"/>
    <cellStyle name="Moneda [0]_11.1.3. bis" xfId="548"/>
    <cellStyle name="Moneda_11.1.3. bis" xfId="549"/>
    <cellStyle name="Monétaire [0]_Encours - Apr rééch" xfId="550"/>
    <cellStyle name="Monétaire_Encours - Apr rééch" xfId="551"/>
    <cellStyle name="Neutral" xfId="10968" builtinId="28" customBuiltin="1"/>
    <cellStyle name="Neutral 2" xfId="552"/>
    <cellStyle name="Neutral 2 2" xfId="553"/>
    <cellStyle name="Neutral 2 2 2" xfId="554"/>
    <cellStyle name="Neutral 2 2 3" xfId="2075"/>
    <cellStyle name="Neutral 2 2 4" xfId="1325"/>
    <cellStyle name="Neutral 2 3" xfId="555"/>
    <cellStyle name="Neutral 2 3 2" xfId="556"/>
    <cellStyle name="Neutral 2 4" xfId="557"/>
    <cellStyle name="Neutral 3" xfId="558"/>
    <cellStyle name="Neutral 3 2" xfId="559"/>
    <cellStyle name="Neutral 3 3" xfId="2076"/>
    <cellStyle name="Neutral 3 4" xfId="1925"/>
    <cellStyle name="Neutral 4" xfId="560"/>
    <cellStyle name="Neutral 5" xfId="561"/>
    <cellStyle name="Neutral 6" xfId="562"/>
    <cellStyle name="Neutral 7" xfId="5640"/>
    <cellStyle name="no dec" xfId="563"/>
    <cellStyle name="Normal" xfId="0" builtinId="0"/>
    <cellStyle name="Normal - Style1" xfId="564"/>
    <cellStyle name="Normal - Style1 2" xfId="565"/>
    <cellStyle name="Normal - Style1 2 2" xfId="566"/>
    <cellStyle name="Normal - Style1 2 2 2" xfId="2078"/>
    <cellStyle name="Normal - Style1 2 3" xfId="567"/>
    <cellStyle name="Normal - Style1 2 4" xfId="2077"/>
    <cellStyle name="Normal - Style1 2 5" xfId="1222"/>
    <cellStyle name="Normal - Style1 3" xfId="568"/>
    <cellStyle name="Normal - Style1 3 2" xfId="929"/>
    <cellStyle name="Normal - Style1 4" xfId="569"/>
    <cellStyle name="Normal - Style1 4 2" xfId="2079"/>
    <cellStyle name="Normal - Style1 5" xfId="570"/>
    <cellStyle name="Normal - Style1 6" xfId="1221"/>
    <cellStyle name="Normal - Style2" xfId="571"/>
    <cellStyle name="Normal - Style2 2" xfId="572"/>
    <cellStyle name="Normal - Style2 3" xfId="573"/>
    <cellStyle name="Normal - Style3" xfId="574"/>
    <cellStyle name="Normal - Style3 2" xfId="575"/>
    <cellStyle name="Normal - Style3 3" xfId="576"/>
    <cellStyle name="Normal 10" xfId="577"/>
    <cellStyle name="Normal 10 2" xfId="578"/>
    <cellStyle name="Normal 10 2 2" xfId="977"/>
    <cellStyle name="Normal 10 2 2 2" xfId="2081"/>
    <cellStyle name="Normal 10 2 3" xfId="1326"/>
    <cellStyle name="Normal 10 3" xfId="579"/>
    <cellStyle name="Normal 10 4" xfId="2080"/>
    <cellStyle name="Normal 10 4 2" xfId="5227"/>
    <cellStyle name="Normal 100" xfId="580"/>
    <cellStyle name="Normal 100 10" xfId="2675"/>
    <cellStyle name="Normal 100 10 2" xfId="7117"/>
    <cellStyle name="Normal 100 11" xfId="3604"/>
    <cellStyle name="Normal 100 11 2" xfId="8012"/>
    <cellStyle name="Normal 100 12" xfId="3704"/>
    <cellStyle name="Normal 100 12 2" xfId="8102"/>
    <cellStyle name="Normal 100 13" xfId="3809"/>
    <cellStyle name="Normal 100 13 2" xfId="8198"/>
    <cellStyle name="Normal 100 14" xfId="3904"/>
    <cellStyle name="Normal 100 14 2" xfId="8286"/>
    <cellStyle name="Normal 100 15" xfId="3997"/>
    <cellStyle name="Normal 100 15 2" xfId="8375"/>
    <cellStyle name="Normal 100 16" xfId="4092"/>
    <cellStyle name="Normal 100 16 2" xfId="8462"/>
    <cellStyle name="Normal 100 17" xfId="4195"/>
    <cellStyle name="Normal 100 17 2" xfId="8556"/>
    <cellStyle name="Normal 100 18" xfId="4289"/>
    <cellStyle name="Normal 100 18 2" xfId="8645"/>
    <cellStyle name="Normal 100 19" xfId="4381"/>
    <cellStyle name="Normal 100 19 2" xfId="8732"/>
    <cellStyle name="Normal 100 2" xfId="1460"/>
    <cellStyle name="Normal 100 2 2" xfId="2769"/>
    <cellStyle name="Normal 100 2 2 2" xfId="7210"/>
    <cellStyle name="Normal 100 2 3" xfId="6358"/>
    <cellStyle name="Normal 100 20" xfId="4473"/>
    <cellStyle name="Normal 100 20 2" xfId="8820"/>
    <cellStyle name="Normal 100 21" xfId="4569"/>
    <cellStyle name="Normal 100 21 2" xfId="8909"/>
    <cellStyle name="Normal 100 22" xfId="4663"/>
    <cellStyle name="Normal 100 22 2" xfId="8997"/>
    <cellStyle name="Normal 100 23" xfId="4756"/>
    <cellStyle name="Normal 100 23 2" xfId="9085"/>
    <cellStyle name="Normal 100 24" xfId="4849"/>
    <cellStyle name="Normal 100 24 2" xfId="9174"/>
    <cellStyle name="Normal 100 25" xfId="4943"/>
    <cellStyle name="Normal 100 25 2" xfId="9263"/>
    <cellStyle name="Normal 100 26" xfId="5037"/>
    <cellStyle name="Normal 100 26 2" xfId="9351"/>
    <cellStyle name="Normal 100 27" xfId="5133"/>
    <cellStyle name="Normal 100 27 2" xfId="9438"/>
    <cellStyle name="Normal 100 28" xfId="5232"/>
    <cellStyle name="Normal 100 28 2" xfId="9531"/>
    <cellStyle name="Normal 100 29" xfId="5335"/>
    <cellStyle name="Normal 100 29 2" xfId="9622"/>
    <cellStyle name="Normal 100 3" xfId="1564"/>
    <cellStyle name="Normal 100 3 2" xfId="2859"/>
    <cellStyle name="Normal 100 3 2 2" xfId="7300"/>
    <cellStyle name="Normal 100 3 3" xfId="6448"/>
    <cellStyle name="Normal 100 30" xfId="5856"/>
    <cellStyle name="Normal 100 30 2" xfId="10048"/>
    <cellStyle name="Normal 100 31" xfId="5949"/>
    <cellStyle name="Normal 100 31 2" xfId="10135"/>
    <cellStyle name="Normal 100 32" xfId="6046"/>
    <cellStyle name="Normal 100 32 2" xfId="10224"/>
    <cellStyle name="Normal 100 33" xfId="6138"/>
    <cellStyle name="Normal 100 33 2" xfId="10312"/>
    <cellStyle name="Normal 100 34" xfId="1327"/>
    <cellStyle name="Normal 100 35" xfId="6266"/>
    <cellStyle name="Normal 100 4" xfId="1674"/>
    <cellStyle name="Normal 100 4 2" xfId="2949"/>
    <cellStyle name="Normal 100 4 2 2" xfId="7388"/>
    <cellStyle name="Normal 100 4 3" xfId="6537"/>
    <cellStyle name="Normal 100 5" xfId="1798"/>
    <cellStyle name="Normal 100 5 2" xfId="3042"/>
    <cellStyle name="Normal 100 5 2 2" xfId="7480"/>
    <cellStyle name="Normal 100 5 3" xfId="6627"/>
    <cellStyle name="Normal 100 6" xfId="2082"/>
    <cellStyle name="Normal 100 7" xfId="2320"/>
    <cellStyle name="Normal 100 7 2" xfId="3258"/>
    <cellStyle name="Normal 100 7 2 2" xfId="7680"/>
    <cellStyle name="Normal 100 7 3" xfId="6815"/>
    <cellStyle name="Normal 100 8" xfId="2410"/>
    <cellStyle name="Normal 100 8 2" xfId="3347"/>
    <cellStyle name="Normal 100 8 2 2" xfId="7769"/>
    <cellStyle name="Normal 100 8 3" xfId="6903"/>
    <cellStyle name="Normal 100 9" xfId="2511"/>
    <cellStyle name="Normal 100 9 2" xfId="3437"/>
    <cellStyle name="Normal 100 9 2 2" xfId="7859"/>
    <cellStyle name="Normal 100 9 3" xfId="6990"/>
    <cellStyle name="Normal 101" xfId="581"/>
    <cellStyle name="Normal 101 10" xfId="2676"/>
    <cellStyle name="Normal 101 10 2" xfId="7118"/>
    <cellStyle name="Normal 101 11" xfId="3605"/>
    <cellStyle name="Normal 101 11 2" xfId="8013"/>
    <cellStyle name="Normal 101 12" xfId="3705"/>
    <cellStyle name="Normal 101 12 2" xfId="8103"/>
    <cellStyle name="Normal 101 13" xfId="3810"/>
    <cellStyle name="Normal 101 13 2" xfId="8199"/>
    <cellStyle name="Normal 101 14" xfId="3905"/>
    <cellStyle name="Normal 101 14 2" xfId="8287"/>
    <cellStyle name="Normal 101 15" xfId="3998"/>
    <cellStyle name="Normal 101 15 2" xfId="8376"/>
    <cellStyle name="Normal 101 16" xfId="4093"/>
    <cellStyle name="Normal 101 16 2" xfId="8463"/>
    <cellStyle name="Normal 101 17" xfId="4196"/>
    <cellStyle name="Normal 101 17 2" xfId="8557"/>
    <cellStyle name="Normal 101 18" xfId="4290"/>
    <cellStyle name="Normal 101 18 2" xfId="8646"/>
    <cellStyle name="Normal 101 19" xfId="4382"/>
    <cellStyle name="Normal 101 19 2" xfId="8733"/>
    <cellStyle name="Normal 101 2" xfId="1461"/>
    <cellStyle name="Normal 101 2 2" xfId="2770"/>
    <cellStyle name="Normal 101 2 2 2" xfId="7211"/>
    <cellStyle name="Normal 101 2 3" xfId="6359"/>
    <cellStyle name="Normal 101 20" xfId="4474"/>
    <cellStyle name="Normal 101 20 2" xfId="8821"/>
    <cellStyle name="Normal 101 21" xfId="4570"/>
    <cellStyle name="Normal 101 21 2" xfId="8910"/>
    <cellStyle name="Normal 101 22" xfId="4664"/>
    <cellStyle name="Normal 101 22 2" xfId="8998"/>
    <cellStyle name="Normal 101 23" xfId="4757"/>
    <cellStyle name="Normal 101 23 2" xfId="9086"/>
    <cellStyle name="Normal 101 24" xfId="4850"/>
    <cellStyle name="Normal 101 24 2" xfId="9175"/>
    <cellStyle name="Normal 101 25" xfId="4944"/>
    <cellStyle name="Normal 101 25 2" xfId="9264"/>
    <cellStyle name="Normal 101 26" xfId="5038"/>
    <cellStyle name="Normal 101 26 2" xfId="9352"/>
    <cellStyle name="Normal 101 27" xfId="5134"/>
    <cellStyle name="Normal 101 27 2" xfId="9439"/>
    <cellStyle name="Normal 101 28" xfId="5233"/>
    <cellStyle name="Normal 101 28 2" xfId="9532"/>
    <cellStyle name="Normal 101 29" xfId="5336"/>
    <cellStyle name="Normal 101 29 2" xfId="9623"/>
    <cellStyle name="Normal 101 3" xfId="1565"/>
    <cellStyle name="Normal 101 3 2" xfId="2860"/>
    <cellStyle name="Normal 101 3 2 2" xfId="7301"/>
    <cellStyle name="Normal 101 3 3" xfId="6449"/>
    <cellStyle name="Normal 101 30" xfId="5857"/>
    <cellStyle name="Normal 101 30 2" xfId="10049"/>
    <cellStyle name="Normal 101 31" xfId="5950"/>
    <cellStyle name="Normal 101 31 2" xfId="10136"/>
    <cellStyle name="Normal 101 32" xfId="6047"/>
    <cellStyle name="Normal 101 32 2" xfId="10225"/>
    <cellStyle name="Normal 101 33" xfId="6139"/>
    <cellStyle name="Normal 101 33 2" xfId="10313"/>
    <cellStyle name="Normal 101 34" xfId="1328"/>
    <cellStyle name="Normal 101 35" xfId="6267"/>
    <cellStyle name="Normal 101 4" xfId="1675"/>
    <cellStyle name="Normal 101 4 2" xfId="2950"/>
    <cellStyle name="Normal 101 4 2 2" xfId="7389"/>
    <cellStyle name="Normal 101 4 3" xfId="6538"/>
    <cellStyle name="Normal 101 5" xfId="1799"/>
    <cellStyle name="Normal 101 5 2" xfId="3043"/>
    <cellStyle name="Normal 101 5 2 2" xfId="7481"/>
    <cellStyle name="Normal 101 5 3" xfId="6628"/>
    <cellStyle name="Normal 101 6" xfId="2083"/>
    <cellStyle name="Normal 101 7" xfId="2321"/>
    <cellStyle name="Normal 101 7 2" xfId="3259"/>
    <cellStyle name="Normal 101 7 2 2" xfId="7681"/>
    <cellStyle name="Normal 101 7 3" xfId="6816"/>
    <cellStyle name="Normal 101 8" xfId="2411"/>
    <cellStyle name="Normal 101 8 2" xfId="3348"/>
    <cellStyle name="Normal 101 8 2 2" xfId="7770"/>
    <cellStyle name="Normal 101 8 3" xfId="6904"/>
    <cellStyle name="Normal 101 9" xfId="2512"/>
    <cellStyle name="Normal 101 9 2" xfId="3438"/>
    <cellStyle name="Normal 101 9 2 2" xfId="7860"/>
    <cellStyle name="Normal 101 9 3" xfId="6991"/>
    <cellStyle name="Normal 102" xfId="582"/>
    <cellStyle name="Normal 102 10" xfId="2677"/>
    <cellStyle name="Normal 102 10 2" xfId="7119"/>
    <cellStyle name="Normal 102 11" xfId="3606"/>
    <cellStyle name="Normal 102 11 2" xfId="8014"/>
    <cellStyle name="Normal 102 12" xfId="3706"/>
    <cellStyle name="Normal 102 12 2" xfId="8104"/>
    <cellStyle name="Normal 102 13" xfId="3811"/>
    <cellStyle name="Normal 102 13 2" xfId="8200"/>
    <cellStyle name="Normal 102 14" xfId="3906"/>
    <cellStyle name="Normal 102 14 2" xfId="8288"/>
    <cellStyle name="Normal 102 15" xfId="3999"/>
    <cellStyle name="Normal 102 15 2" xfId="8377"/>
    <cellStyle name="Normal 102 16" xfId="4094"/>
    <cellStyle name="Normal 102 16 2" xfId="8464"/>
    <cellStyle name="Normal 102 17" xfId="4197"/>
    <cellStyle name="Normal 102 17 2" xfId="8558"/>
    <cellStyle name="Normal 102 18" xfId="4291"/>
    <cellStyle name="Normal 102 18 2" xfId="8647"/>
    <cellStyle name="Normal 102 19" xfId="4383"/>
    <cellStyle name="Normal 102 19 2" xfId="8734"/>
    <cellStyle name="Normal 102 2" xfId="1462"/>
    <cellStyle name="Normal 102 2 2" xfId="2771"/>
    <cellStyle name="Normal 102 2 2 2" xfId="7212"/>
    <cellStyle name="Normal 102 2 3" xfId="6360"/>
    <cellStyle name="Normal 102 20" xfId="4475"/>
    <cellStyle name="Normal 102 20 2" xfId="8822"/>
    <cellStyle name="Normal 102 21" xfId="4571"/>
    <cellStyle name="Normal 102 21 2" xfId="8911"/>
    <cellStyle name="Normal 102 22" xfId="4665"/>
    <cellStyle name="Normal 102 22 2" xfId="8999"/>
    <cellStyle name="Normal 102 23" xfId="4758"/>
    <cellStyle name="Normal 102 23 2" xfId="9087"/>
    <cellStyle name="Normal 102 24" xfId="4851"/>
    <cellStyle name="Normal 102 24 2" xfId="9176"/>
    <cellStyle name="Normal 102 25" xfId="4945"/>
    <cellStyle name="Normal 102 25 2" xfId="9265"/>
    <cellStyle name="Normal 102 26" xfId="5039"/>
    <cellStyle name="Normal 102 26 2" xfId="9353"/>
    <cellStyle name="Normal 102 27" xfId="5135"/>
    <cellStyle name="Normal 102 27 2" xfId="9440"/>
    <cellStyle name="Normal 102 28" xfId="5234"/>
    <cellStyle name="Normal 102 28 2" xfId="9533"/>
    <cellStyle name="Normal 102 29" xfId="5337"/>
    <cellStyle name="Normal 102 29 2" xfId="9624"/>
    <cellStyle name="Normal 102 3" xfId="1566"/>
    <cellStyle name="Normal 102 3 2" xfId="2861"/>
    <cellStyle name="Normal 102 3 2 2" xfId="7302"/>
    <cellStyle name="Normal 102 3 3" xfId="6450"/>
    <cellStyle name="Normal 102 30" xfId="5858"/>
    <cellStyle name="Normal 102 30 2" xfId="10050"/>
    <cellStyle name="Normal 102 31" xfId="5951"/>
    <cellStyle name="Normal 102 31 2" xfId="10137"/>
    <cellStyle name="Normal 102 32" xfId="6048"/>
    <cellStyle name="Normal 102 32 2" xfId="10226"/>
    <cellStyle name="Normal 102 33" xfId="6140"/>
    <cellStyle name="Normal 102 33 2" xfId="10314"/>
    <cellStyle name="Normal 102 34" xfId="1329"/>
    <cellStyle name="Normal 102 35" xfId="6268"/>
    <cellStyle name="Normal 102 4" xfId="1676"/>
    <cellStyle name="Normal 102 4 2" xfId="2951"/>
    <cellStyle name="Normal 102 4 2 2" xfId="7390"/>
    <cellStyle name="Normal 102 4 3" xfId="6539"/>
    <cellStyle name="Normal 102 5" xfId="1800"/>
    <cellStyle name="Normal 102 5 2" xfId="3044"/>
    <cellStyle name="Normal 102 5 2 2" xfId="7482"/>
    <cellStyle name="Normal 102 5 3" xfId="6629"/>
    <cellStyle name="Normal 102 6" xfId="2084"/>
    <cellStyle name="Normal 102 7" xfId="2322"/>
    <cellStyle name="Normal 102 7 2" xfId="3260"/>
    <cellStyle name="Normal 102 7 2 2" xfId="7682"/>
    <cellStyle name="Normal 102 7 3" xfId="6817"/>
    <cellStyle name="Normal 102 8" xfId="2412"/>
    <cellStyle name="Normal 102 8 2" xfId="3349"/>
    <cellStyle name="Normal 102 8 2 2" xfId="7771"/>
    <cellStyle name="Normal 102 8 3" xfId="6905"/>
    <cellStyle name="Normal 102 9" xfId="2513"/>
    <cellStyle name="Normal 102 9 2" xfId="3439"/>
    <cellStyle name="Normal 102 9 2 2" xfId="7861"/>
    <cellStyle name="Normal 102 9 3" xfId="6992"/>
    <cellStyle name="Normal 103" xfId="583"/>
    <cellStyle name="Normal 103 10" xfId="2678"/>
    <cellStyle name="Normal 103 10 2" xfId="7120"/>
    <cellStyle name="Normal 103 11" xfId="3607"/>
    <cellStyle name="Normal 103 11 2" xfId="8015"/>
    <cellStyle name="Normal 103 12" xfId="3707"/>
    <cellStyle name="Normal 103 12 2" xfId="8105"/>
    <cellStyle name="Normal 103 13" xfId="3812"/>
    <cellStyle name="Normal 103 13 2" xfId="8201"/>
    <cellStyle name="Normal 103 14" xfId="3907"/>
    <cellStyle name="Normal 103 14 2" xfId="8289"/>
    <cellStyle name="Normal 103 15" xfId="4000"/>
    <cellStyle name="Normal 103 15 2" xfId="8378"/>
    <cellStyle name="Normal 103 16" xfId="4095"/>
    <cellStyle name="Normal 103 16 2" xfId="8465"/>
    <cellStyle name="Normal 103 17" xfId="4198"/>
    <cellStyle name="Normal 103 17 2" xfId="8559"/>
    <cellStyle name="Normal 103 18" xfId="4292"/>
    <cellStyle name="Normal 103 18 2" xfId="8648"/>
    <cellStyle name="Normal 103 19" xfId="4384"/>
    <cellStyle name="Normal 103 19 2" xfId="8735"/>
    <cellStyle name="Normal 103 2" xfId="1463"/>
    <cellStyle name="Normal 103 2 2" xfId="2772"/>
    <cellStyle name="Normal 103 2 2 2" xfId="7213"/>
    <cellStyle name="Normal 103 2 3" xfId="6361"/>
    <cellStyle name="Normal 103 20" xfId="4476"/>
    <cellStyle name="Normal 103 20 2" xfId="8823"/>
    <cellStyle name="Normal 103 21" xfId="4572"/>
    <cellStyle name="Normal 103 21 2" xfId="8912"/>
    <cellStyle name="Normal 103 22" xfId="4666"/>
    <cellStyle name="Normal 103 22 2" xfId="9000"/>
    <cellStyle name="Normal 103 23" xfId="4759"/>
    <cellStyle name="Normal 103 23 2" xfId="9088"/>
    <cellStyle name="Normal 103 24" xfId="4852"/>
    <cellStyle name="Normal 103 24 2" xfId="9177"/>
    <cellStyle name="Normal 103 25" xfId="4946"/>
    <cellStyle name="Normal 103 25 2" xfId="9266"/>
    <cellStyle name="Normal 103 26" xfId="5040"/>
    <cellStyle name="Normal 103 26 2" xfId="9354"/>
    <cellStyle name="Normal 103 27" xfId="5136"/>
    <cellStyle name="Normal 103 27 2" xfId="9441"/>
    <cellStyle name="Normal 103 28" xfId="5235"/>
    <cellStyle name="Normal 103 28 2" xfId="9534"/>
    <cellStyle name="Normal 103 29" xfId="5338"/>
    <cellStyle name="Normal 103 29 2" xfId="9625"/>
    <cellStyle name="Normal 103 3" xfId="1567"/>
    <cellStyle name="Normal 103 3 2" xfId="2862"/>
    <cellStyle name="Normal 103 3 2 2" xfId="7303"/>
    <cellStyle name="Normal 103 3 3" xfId="6451"/>
    <cellStyle name="Normal 103 30" xfId="5859"/>
    <cellStyle name="Normal 103 30 2" xfId="10051"/>
    <cellStyle name="Normal 103 31" xfId="5952"/>
    <cellStyle name="Normal 103 31 2" xfId="10138"/>
    <cellStyle name="Normal 103 32" xfId="6049"/>
    <cellStyle name="Normal 103 32 2" xfId="10227"/>
    <cellStyle name="Normal 103 33" xfId="6141"/>
    <cellStyle name="Normal 103 33 2" xfId="10315"/>
    <cellStyle name="Normal 103 34" xfId="1330"/>
    <cellStyle name="Normal 103 35" xfId="6269"/>
    <cellStyle name="Normal 103 4" xfId="1677"/>
    <cellStyle name="Normal 103 4 2" xfId="2952"/>
    <cellStyle name="Normal 103 4 2 2" xfId="7391"/>
    <cellStyle name="Normal 103 4 3" xfId="6540"/>
    <cellStyle name="Normal 103 5" xfId="1801"/>
    <cellStyle name="Normal 103 5 2" xfId="3045"/>
    <cellStyle name="Normal 103 5 2 2" xfId="7483"/>
    <cellStyle name="Normal 103 5 3" xfId="6630"/>
    <cellStyle name="Normal 103 6" xfId="2085"/>
    <cellStyle name="Normal 103 7" xfId="2323"/>
    <cellStyle name="Normal 103 7 2" xfId="3261"/>
    <cellStyle name="Normal 103 7 2 2" xfId="7683"/>
    <cellStyle name="Normal 103 7 3" xfId="6818"/>
    <cellStyle name="Normal 103 8" xfId="2413"/>
    <cellStyle name="Normal 103 8 2" xfId="3350"/>
    <cellStyle name="Normal 103 8 2 2" xfId="7772"/>
    <cellStyle name="Normal 103 8 3" xfId="6906"/>
    <cellStyle name="Normal 103 9" xfId="2514"/>
    <cellStyle name="Normal 103 9 2" xfId="3440"/>
    <cellStyle name="Normal 103 9 2 2" xfId="7862"/>
    <cellStyle name="Normal 103 9 3" xfId="6993"/>
    <cellStyle name="Normal 104" xfId="584"/>
    <cellStyle name="Normal 104 10" xfId="2679"/>
    <cellStyle name="Normal 104 10 2" xfId="7121"/>
    <cellStyle name="Normal 104 11" xfId="3608"/>
    <cellStyle name="Normal 104 11 2" xfId="8016"/>
    <cellStyle name="Normal 104 12" xfId="3708"/>
    <cellStyle name="Normal 104 12 2" xfId="8106"/>
    <cellStyle name="Normal 104 13" xfId="3813"/>
    <cellStyle name="Normal 104 13 2" xfId="8202"/>
    <cellStyle name="Normal 104 14" xfId="3908"/>
    <cellStyle name="Normal 104 14 2" xfId="8290"/>
    <cellStyle name="Normal 104 15" xfId="4001"/>
    <cellStyle name="Normal 104 15 2" xfId="8379"/>
    <cellStyle name="Normal 104 16" xfId="4096"/>
    <cellStyle name="Normal 104 16 2" xfId="8466"/>
    <cellStyle name="Normal 104 17" xfId="4199"/>
    <cellStyle name="Normal 104 17 2" xfId="8560"/>
    <cellStyle name="Normal 104 18" xfId="4293"/>
    <cellStyle name="Normal 104 18 2" xfId="8649"/>
    <cellStyle name="Normal 104 19" xfId="4385"/>
    <cellStyle name="Normal 104 19 2" xfId="8736"/>
    <cellStyle name="Normal 104 2" xfId="1464"/>
    <cellStyle name="Normal 104 2 2" xfId="2773"/>
    <cellStyle name="Normal 104 2 2 2" xfId="7214"/>
    <cellStyle name="Normal 104 2 3" xfId="6362"/>
    <cellStyle name="Normal 104 20" xfId="4477"/>
    <cellStyle name="Normal 104 20 2" xfId="8824"/>
    <cellStyle name="Normal 104 21" xfId="4573"/>
    <cellStyle name="Normal 104 21 2" xfId="8913"/>
    <cellStyle name="Normal 104 22" xfId="4667"/>
    <cellStyle name="Normal 104 22 2" xfId="9001"/>
    <cellStyle name="Normal 104 23" xfId="4760"/>
    <cellStyle name="Normal 104 23 2" xfId="9089"/>
    <cellStyle name="Normal 104 24" xfId="4853"/>
    <cellStyle name="Normal 104 24 2" xfId="9178"/>
    <cellStyle name="Normal 104 25" xfId="4947"/>
    <cellStyle name="Normal 104 25 2" xfId="9267"/>
    <cellStyle name="Normal 104 26" xfId="5041"/>
    <cellStyle name="Normal 104 26 2" xfId="9355"/>
    <cellStyle name="Normal 104 27" xfId="5137"/>
    <cellStyle name="Normal 104 27 2" xfId="9442"/>
    <cellStyle name="Normal 104 28" xfId="5236"/>
    <cellStyle name="Normal 104 28 2" xfId="9535"/>
    <cellStyle name="Normal 104 29" xfId="5339"/>
    <cellStyle name="Normal 104 29 2" xfId="9626"/>
    <cellStyle name="Normal 104 3" xfId="1568"/>
    <cellStyle name="Normal 104 3 2" xfId="2863"/>
    <cellStyle name="Normal 104 3 2 2" xfId="7304"/>
    <cellStyle name="Normal 104 3 3" xfId="6452"/>
    <cellStyle name="Normal 104 30" xfId="5860"/>
    <cellStyle name="Normal 104 30 2" xfId="10052"/>
    <cellStyle name="Normal 104 31" xfId="5953"/>
    <cellStyle name="Normal 104 31 2" xfId="10139"/>
    <cellStyle name="Normal 104 32" xfId="6050"/>
    <cellStyle name="Normal 104 32 2" xfId="10228"/>
    <cellStyle name="Normal 104 33" xfId="6142"/>
    <cellStyle name="Normal 104 33 2" xfId="10316"/>
    <cellStyle name="Normal 104 34" xfId="1331"/>
    <cellStyle name="Normal 104 35" xfId="6270"/>
    <cellStyle name="Normal 104 4" xfId="1678"/>
    <cellStyle name="Normal 104 4 2" xfId="2953"/>
    <cellStyle name="Normal 104 4 2 2" xfId="7392"/>
    <cellStyle name="Normal 104 4 3" xfId="6541"/>
    <cellStyle name="Normal 104 5" xfId="1802"/>
    <cellStyle name="Normal 104 5 2" xfId="3046"/>
    <cellStyle name="Normal 104 5 2 2" xfId="7484"/>
    <cellStyle name="Normal 104 5 3" xfId="6631"/>
    <cellStyle name="Normal 104 6" xfId="2086"/>
    <cellStyle name="Normal 104 7" xfId="2324"/>
    <cellStyle name="Normal 104 7 2" xfId="3262"/>
    <cellStyle name="Normal 104 7 2 2" xfId="7684"/>
    <cellStyle name="Normal 104 7 3" xfId="6819"/>
    <cellStyle name="Normal 104 8" xfId="2414"/>
    <cellStyle name="Normal 104 8 2" xfId="3351"/>
    <cellStyle name="Normal 104 8 2 2" xfId="7773"/>
    <cellStyle name="Normal 104 8 3" xfId="6907"/>
    <cellStyle name="Normal 104 9" xfId="2515"/>
    <cellStyle name="Normal 104 9 2" xfId="3441"/>
    <cellStyle name="Normal 104 9 2 2" xfId="7863"/>
    <cellStyle name="Normal 104 9 3" xfId="6994"/>
    <cellStyle name="Normal 105" xfId="585"/>
    <cellStyle name="Normal 105 10" xfId="2680"/>
    <cellStyle name="Normal 105 10 2" xfId="7122"/>
    <cellStyle name="Normal 105 11" xfId="3609"/>
    <cellStyle name="Normal 105 11 2" xfId="8017"/>
    <cellStyle name="Normal 105 12" xfId="3709"/>
    <cellStyle name="Normal 105 12 2" xfId="8107"/>
    <cellStyle name="Normal 105 13" xfId="3814"/>
    <cellStyle name="Normal 105 13 2" xfId="8203"/>
    <cellStyle name="Normal 105 14" xfId="3909"/>
    <cellStyle name="Normal 105 14 2" xfId="8291"/>
    <cellStyle name="Normal 105 15" xfId="4002"/>
    <cellStyle name="Normal 105 15 2" xfId="8380"/>
    <cellStyle name="Normal 105 16" xfId="4097"/>
    <cellStyle name="Normal 105 16 2" xfId="8467"/>
    <cellStyle name="Normal 105 17" xfId="4200"/>
    <cellStyle name="Normal 105 17 2" xfId="8561"/>
    <cellStyle name="Normal 105 18" xfId="4294"/>
    <cellStyle name="Normal 105 18 2" xfId="8650"/>
    <cellStyle name="Normal 105 19" xfId="4386"/>
    <cellStyle name="Normal 105 19 2" xfId="8737"/>
    <cellStyle name="Normal 105 2" xfId="1465"/>
    <cellStyle name="Normal 105 2 2" xfId="2774"/>
    <cellStyle name="Normal 105 2 2 2" xfId="7215"/>
    <cellStyle name="Normal 105 2 3" xfId="6363"/>
    <cellStyle name="Normal 105 20" xfId="4478"/>
    <cellStyle name="Normal 105 20 2" xfId="8825"/>
    <cellStyle name="Normal 105 21" xfId="4574"/>
    <cellStyle name="Normal 105 21 2" xfId="8914"/>
    <cellStyle name="Normal 105 22" xfId="4668"/>
    <cellStyle name="Normal 105 22 2" xfId="9002"/>
    <cellStyle name="Normal 105 23" xfId="4761"/>
    <cellStyle name="Normal 105 23 2" xfId="9090"/>
    <cellStyle name="Normal 105 24" xfId="4854"/>
    <cellStyle name="Normal 105 24 2" xfId="9179"/>
    <cellStyle name="Normal 105 25" xfId="4948"/>
    <cellStyle name="Normal 105 25 2" xfId="9268"/>
    <cellStyle name="Normal 105 26" xfId="5042"/>
    <cellStyle name="Normal 105 26 2" xfId="9356"/>
    <cellStyle name="Normal 105 27" xfId="5138"/>
    <cellStyle name="Normal 105 27 2" xfId="9443"/>
    <cellStyle name="Normal 105 28" xfId="5237"/>
    <cellStyle name="Normal 105 28 2" xfId="9536"/>
    <cellStyle name="Normal 105 29" xfId="5340"/>
    <cellStyle name="Normal 105 29 2" xfId="9627"/>
    <cellStyle name="Normal 105 3" xfId="1569"/>
    <cellStyle name="Normal 105 3 2" xfId="2864"/>
    <cellStyle name="Normal 105 3 2 2" xfId="7305"/>
    <cellStyle name="Normal 105 3 3" xfId="6453"/>
    <cellStyle name="Normal 105 30" xfId="5861"/>
    <cellStyle name="Normal 105 30 2" xfId="10053"/>
    <cellStyle name="Normal 105 31" xfId="5954"/>
    <cellStyle name="Normal 105 31 2" xfId="10140"/>
    <cellStyle name="Normal 105 32" xfId="6051"/>
    <cellStyle name="Normal 105 32 2" xfId="10229"/>
    <cellStyle name="Normal 105 33" xfId="6143"/>
    <cellStyle name="Normal 105 33 2" xfId="10317"/>
    <cellStyle name="Normal 105 34" xfId="1332"/>
    <cellStyle name="Normal 105 35" xfId="6271"/>
    <cellStyle name="Normal 105 4" xfId="1679"/>
    <cellStyle name="Normal 105 4 2" xfId="2954"/>
    <cellStyle name="Normal 105 4 2 2" xfId="7393"/>
    <cellStyle name="Normal 105 4 3" xfId="6542"/>
    <cellStyle name="Normal 105 5" xfId="1803"/>
    <cellStyle name="Normal 105 5 2" xfId="3047"/>
    <cellStyle name="Normal 105 5 2 2" xfId="7485"/>
    <cellStyle name="Normal 105 5 3" xfId="6632"/>
    <cellStyle name="Normal 105 6" xfId="2087"/>
    <cellStyle name="Normal 105 7" xfId="2325"/>
    <cellStyle name="Normal 105 7 2" xfId="3263"/>
    <cellStyle name="Normal 105 7 2 2" xfId="7685"/>
    <cellStyle name="Normal 105 7 3" xfId="6820"/>
    <cellStyle name="Normal 105 8" xfId="2415"/>
    <cellStyle name="Normal 105 8 2" xfId="3352"/>
    <cellStyle name="Normal 105 8 2 2" xfId="7774"/>
    <cellStyle name="Normal 105 8 3" xfId="6908"/>
    <cellStyle name="Normal 105 9" xfId="2516"/>
    <cellStyle name="Normal 105 9 2" xfId="3442"/>
    <cellStyle name="Normal 105 9 2 2" xfId="7864"/>
    <cellStyle name="Normal 105 9 3" xfId="6995"/>
    <cellStyle name="Normal 106" xfId="586"/>
    <cellStyle name="Normal 106 10" xfId="2681"/>
    <cellStyle name="Normal 106 10 2" xfId="7123"/>
    <cellStyle name="Normal 106 11" xfId="3610"/>
    <cellStyle name="Normal 106 11 2" xfId="8018"/>
    <cellStyle name="Normal 106 12" xfId="3710"/>
    <cellStyle name="Normal 106 12 2" xfId="8108"/>
    <cellStyle name="Normal 106 13" xfId="3815"/>
    <cellStyle name="Normal 106 13 2" xfId="8204"/>
    <cellStyle name="Normal 106 14" xfId="3910"/>
    <cellStyle name="Normal 106 14 2" xfId="8292"/>
    <cellStyle name="Normal 106 15" xfId="4003"/>
    <cellStyle name="Normal 106 15 2" xfId="8381"/>
    <cellStyle name="Normal 106 16" xfId="4098"/>
    <cellStyle name="Normal 106 16 2" xfId="8468"/>
    <cellStyle name="Normal 106 17" xfId="4201"/>
    <cellStyle name="Normal 106 17 2" xfId="8562"/>
    <cellStyle name="Normal 106 18" xfId="4295"/>
    <cellStyle name="Normal 106 18 2" xfId="8651"/>
    <cellStyle name="Normal 106 19" xfId="4387"/>
    <cellStyle name="Normal 106 19 2" xfId="8738"/>
    <cellStyle name="Normal 106 2" xfId="1466"/>
    <cellStyle name="Normal 106 2 2" xfId="2775"/>
    <cellStyle name="Normal 106 2 2 2" xfId="7216"/>
    <cellStyle name="Normal 106 2 3" xfId="6364"/>
    <cellStyle name="Normal 106 20" xfId="4479"/>
    <cellStyle name="Normal 106 20 2" xfId="8826"/>
    <cellStyle name="Normal 106 21" xfId="4575"/>
    <cellStyle name="Normal 106 21 2" xfId="8915"/>
    <cellStyle name="Normal 106 22" xfId="4669"/>
    <cellStyle name="Normal 106 22 2" xfId="9003"/>
    <cellStyle name="Normal 106 23" xfId="4762"/>
    <cellStyle name="Normal 106 23 2" xfId="9091"/>
    <cellStyle name="Normal 106 24" xfId="4855"/>
    <cellStyle name="Normal 106 24 2" xfId="9180"/>
    <cellStyle name="Normal 106 25" xfId="4949"/>
    <cellStyle name="Normal 106 25 2" xfId="9269"/>
    <cellStyle name="Normal 106 26" xfId="5043"/>
    <cellStyle name="Normal 106 26 2" xfId="9357"/>
    <cellStyle name="Normal 106 27" xfId="5139"/>
    <cellStyle name="Normal 106 27 2" xfId="9444"/>
    <cellStyle name="Normal 106 28" xfId="5238"/>
    <cellStyle name="Normal 106 28 2" xfId="9537"/>
    <cellStyle name="Normal 106 29" xfId="5341"/>
    <cellStyle name="Normal 106 29 2" xfId="9628"/>
    <cellStyle name="Normal 106 3" xfId="1570"/>
    <cellStyle name="Normal 106 3 2" xfId="2865"/>
    <cellStyle name="Normal 106 3 2 2" xfId="7306"/>
    <cellStyle name="Normal 106 3 3" xfId="6454"/>
    <cellStyle name="Normal 106 30" xfId="5862"/>
    <cellStyle name="Normal 106 30 2" xfId="10054"/>
    <cellStyle name="Normal 106 31" xfId="5955"/>
    <cellStyle name="Normal 106 31 2" xfId="10141"/>
    <cellStyle name="Normal 106 32" xfId="6052"/>
    <cellStyle name="Normal 106 32 2" xfId="10230"/>
    <cellStyle name="Normal 106 33" xfId="6144"/>
    <cellStyle name="Normal 106 33 2" xfId="10318"/>
    <cellStyle name="Normal 106 34" xfId="1333"/>
    <cellStyle name="Normal 106 35" xfId="6272"/>
    <cellStyle name="Normal 106 4" xfId="1680"/>
    <cellStyle name="Normal 106 4 2" xfId="2955"/>
    <cellStyle name="Normal 106 4 2 2" xfId="7394"/>
    <cellStyle name="Normal 106 4 3" xfId="6543"/>
    <cellStyle name="Normal 106 5" xfId="1804"/>
    <cellStyle name="Normal 106 5 2" xfId="3048"/>
    <cellStyle name="Normal 106 5 2 2" xfId="7486"/>
    <cellStyle name="Normal 106 5 3" xfId="6633"/>
    <cellStyle name="Normal 106 6" xfId="2088"/>
    <cellStyle name="Normal 106 7" xfId="2326"/>
    <cellStyle name="Normal 106 7 2" xfId="3264"/>
    <cellStyle name="Normal 106 7 2 2" xfId="7686"/>
    <cellStyle name="Normal 106 7 3" xfId="6821"/>
    <cellStyle name="Normal 106 8" xfId="2416"/>
    <cellStyle name="Normal 106 8 2" xfId="3353"/>
    <cellStyle name="Normal 106 8 2 2" xfId="7775"/>
    <cellStyle name="Normal 106 8 3" xfId="6909"/>
    <cellStyle name="Normal 106 9" xfId="2517"/>
    <cellStyle name="Normal 106 9 2" xfId="3443"/>
    <cellStyle name="Normal 106 9 2 2" xfId="7865"/>
    <cellStyle name="Normal 106 9 3" xfId="6996"/>
    <cellStyle name="Normal 107" xfId="587"/>
    <cellStyle name="Normal 107 10" xfId="2682"/>
    <cellStyle name="Normal 107 10 2" xfId="7124"/>
    <cellStyle name="Normal 107 11" xfId="3611"/>
    <cellStyle name="Normal 107 11 2" xfId="8019"/>
    <cellStyle name="Normal 107 12" xfId="3711"/>
    <cellStyle name="Normal 107 12 2" xfId="8109"/>
    <cellStyle name="Normal 107 13" xfId="3816"/>
    <cellStyle name="Normal 107 13 2" xfId="8205"/>
    <cellStyle name="Normal 107 14" xfId="3911"/>
    <cellStyle name="Normal 107 14 2" xfId="8293"/>
    <cellStyle name="Normal 107 15" xfId="4004"/>
    <cellStyle name="Normal 107 15 2" xfId="8382"/>
    <cellStyle name="Normal 107 16" xfId="4099"/>
    <cellStyle name="Normal 107 16 2" xfId="8469"/>
    <cellStyle name="Normal 107 17" xfId="4202"/>
    <cellStyle name="Normal 107 17 2" xfId="8563"/>
    <cellStyle name="Normal 107 18" xfId="4296"/>
    <cellStyle name="Normal 107 18 2" xfId="8652"/>
    <cellStyle name="Normal 107 19" xfId="4388"/>
    <cellStyle name="Normal 107 19 2" xfId="8739"/>
    <cellStyle name="Normal 107 2" xfId="1467"/>
    <cellStyle name="Normal 107 2 2" xfId="2776"/>
    <cellStyle name="Normal 107 2 2 2" xfId="7217"/>
    <cellStyle name="Normal 107 2 3" xfId="6365"/>
    <cellStyle name="Normal 107 20" xfId="4480"/>
    <cellStyle name="Normal 107 20 2" xfId="8827"/>
    <cellStyle name="Normal 107 21" xfId="4576"/>
    <cellStyle name="Normal 107 21 2" xfId="8916"/>
    <cellStyle name="Normal 107 22" xfId="4670"/>
    <cellStyle name="Normal 107 22 2" xfId="9004"/>
    <cellStyle name="Normal 107 23" xfId="4763"/>
    <cellStyle name="Normal 107 23 2" xfId="9092"/>
    <cellStyle name="Normal 107 24" xfId="4856"/>
    <cellStyle name="Normal 107 24 2" xfId="9181"/>
    <cellStyle name="Normal 107 25" xfId="4950"/>
    <cellStyle name="Normal 107 25 2" xfId="9270"/>
    <cellStyle name="Normal 107 26" xfId="5044"/>
    <cellStyle name="Normal 107 26 2" xfId="9358"/>
    <cellStyle name="Normal 107 27" xfId="5140"/>
    <cellStyle name="Normal 107 27 2" xfId="9445"/>
    <cellStyle name="Normal 107 28" xfId="5239"/>
    <cellStyle name="Normal 107 28 2" xfId="9538"/>
    <cellStyle name="Normal 107 29" xfId="5342"/>
    <cellStyle name="Normal 107 29 2" xfId="9629"/>
    <cellStyle name="Normal 107 3" xfId="1571"/>
    <cellStyle name="Normal 107 3 2" xfId="2866"/>
    <cellStyle name="Normal 107 3 2 2" xfId="7307"/>
    <cellStyle name="Normal 107 3 3" xfId="6455"/>
    <cellStyle name="Normal 107 30" xfId="5863"/>
    <cellStyle name="Normal 107 30 2" xfId="10055"/>
    <cellStyle name="Normal 107 31" xfId="5956"/>
    <cellStyle name="Normal 107 31 2" xfId="10142"/>
    <cellStyle name="Normal 107 32" xfId="6053"/>
    <cellStyle name="Normal 107 32 2" xfId="10231"/>
    <cellStyle name="Normal 107 33" xfId="6145"/>
    <cellStyle name="Normal 107 33 2" xfId="10319"/>
    <cellStyle name="Normal 107 34" xfId="1334"/>
    <cellStyle name="Normal 107 35" xfId="6273"/>
    <cellStyle name="Normal 107 4" xfId="1681"/>
    <cellStyle name="Normal 107 4 2" xfId="2956"/>
    <cellStyle name="Normal 107 4 2 2" xfId="7395"/>
    <cellStyle name="Normal 107 4 3" xfId="6544"/>
    <cellStyle name="Normal 107 5" xfId="1805"/>
    <cellStyle name="Normal 107 5 2" xfId="3049"/>
    <cellStyle name="Normal 107 5 2 2" xfId="7487"/>
    <cellStyle name="Normal 107 5 3" xfId="6634"/>
    <cellStyle name="Normal 107 6" xfId="2089"/>
    <cellStyle name="Normal 107 7" xfId="2327"/>
    <cellStyle name="Normal 107 7 2" xfId="3265"/>
    <cellStyle name="Normal 107 7 2 2" xfId="7687"/>
    <cellStyle name="Normal 107 7 3" xfId="6822"/>
    <cellStyle name="Normal 107 8" xfId="2417"/>
    <cellStyle name="Normal 107 8 2" xfId="3354"/>
    <cellStyle name="Normal 107 8 2 2" xfId="7776"/>
    <cellStyle name="Normal 107 8 3" xfId="6910"/>
    <cellStyle name="Normal 107 9" xfId="2518"/>
    <cellStyle name="Normal 107 9 2" xfId="3444"/>
    <cellStyle name="Normal 107 9 2 2" xfId="7866"/>
    <cellStyle name="Normal 107 9 3" xfId="6997"/>
    <cellStyle name="Normal 108" xfId="588"/>
    <cellStyle name="Normal 108 10" xfId="2683"/>
    <cellStyle name="Normal 108 10 2" xfId="7125"/>
    <cellStyle name="Normal 108 11" xfId="3612"/>
    <cellStyle name="Normal 108 11 2" xfId="8020"/>
    <cellStyle name="Normal 108 12" xfId="3712"/>
    <cellStyle name="Normal 108 12 2" xfId="8110"/>
    <cellStyle name="Normal 108 13" xfId="3817"/>
    <cellStyle name="Normal 108 13 2" xfId="8206"/>
    <cellStyle name="Normal 108 14" xfId="3912"/>
    <cellStyle name="Normal 108 14 2" xfId="8294"/>
    <cellStyle name="Normal 108 15" xfId="4005"/>
    <cellStyle name="Normal 108 15 2" xfId="8383"/>
    <cellStyle name="Normal 108 16" xfId="4100"/>
    <cellStyle name="Normal 108 16 2" xfId="8470"/>
    <cellStyle name="Normal 108 17" xfId="4203"/>
    <cellStyle name="Normal 108 17 2" xfId="8564"/>
    <cellStyle name="Normal 108 18" xfId="4297"/>
    <cellStyle name="Normal 108 18 2" xfId="8653"/>
    <cellStyle name="Normal 108 19" xfId="4389"/>
    <cellStyle name="Normal 108 19 2" xfId="8740"/>
    <cellStyle name="Normal 108 2" xfId="1468"/>
    <cellStyle name="Normal 108 2 2" xfId="2777"/>
    <cellStyle name="Normal 108 2 2 2" xfId="7218"/>
    <cellStyle name="Normal 108 2 3" xfId="6366"/>
    <cellStyle name="Normal 108 20" xfId="4481"/>
    <cellStyle name="Normal 108 20 2" xfId="8828"/>
    <cellStyle name="Normal 108 21" xfId="4577"/>
    <cellStyle name="Normal 108 21 2" xfId="8917"/>
    <cellStyle name="Normal 108 22" xfId="4671"/>
    <cellStyle name="Normal 108 22 2" xfId="9005"/>
    <cellStyle name="Normal 108 23" xfId="4764"/>
    <cellStyle name="Normal 108 23 2" xfId="9093"/>
    <cellStyle name="Normal 108 24" xfId="4857"/>
    <cellStyle name="Normal 108 24 2" xfId="9182"/>
    <cellStyle name="Normal 108 25" xfId="4951"/>
    <cellStyle name="Normal 108 25 2" xfId="9271"/>
    <cellStyle name="Normal 108 26" xfId="5045"/>
    <cellStyle name="Normal 108 26 2" xfId="9359"/>
    <cellStyle name="Normal 108 27" xfId="5141"/>
    <cellStyle name="Normal 108 27 2" xfId="9446"/>
    <cellStyle name="Normal 108 28" xfId="5240"/>
    <cellStyle name="Normal 108 28 2" xfId="9539"/>
    <cellStyle name="Normal 108 29" xfId="5343"/>
    <cellStyle name="Normal 108 29 2" xfId="9630"/>
    <cellStyle name="Normal 108 3" xfId="1572"/>
    <cellStyle name="Normal 108 3 2" xfId="2867"/>
    <cellStyle name="Normal 108 3 2 2" xfId="7308"/>
    <cellStyle name="Normal 108 3 3" xfId="6456"/>
    <cellStyle name="Normal 108 30" xfId="5864"/>
    <cellStyle name="Normal 108 30 2" xfId="10056"/>
    <cellStyle name="Normal 108 31" xfId="5957"/>
    <cellStyle name="Normal 108 31 2" xfId="10143"/>
    <cellStyle name="Normal 108 32" xfId="6054"/>
    <cellStyle name="Normal 108 32 2" xfId="10232"/>
    <cellStyle name="Normal 108 33" xfId="6146"/>
    <cellStyle name="Normal 108 33 2" xfId="10320"/>
    <cellStyle name="Normal 108 34" xfId="1335"/>
    <cellStyle name="Normal 108 35" xfId="6274"/>
    <cellStyle name="Normal 108 4" xfId="1682"/>
    <cellStyle name="Normal 108 4 2" xfId="2957"/>
    <cellStyle name="Normal 108 4 2 2" xfId="7396"/>
    <cellStyle name="Normal 108 4 3" xfId="6545"/>
    <cellStyle name="Normal 108 5" xfId="1806"/>
    <cellStyle name="Normal 108 5 2" xfId="3050"/>
    <cellStyle name="Normal 108 5 2 2" xfId="7488"/>
    <cellStyle name="Normal 108 5 3" xfId="6635"/>
    <cellStyle name="Normal 108 6" xfId="2090"/>
    <cellStyle name="Normal 108 7" xfId="2328"/>
    <cellStyle name="Normal 108 7 2" xfId="3266"/>
    <cellStyle name="Normal 108 7 2 2" xfId="7688"/>
    <cellStyle name="Normal 108 7 3" xfId="6823"/>
    <cellStyle name="Normal 108 8" xfId="2418"/>
    <cellStyle name="Normal 108 8 2" xfId="3355"/>
    <cellStyle name="Normal 108 8 2 2" xfId="7777"/>
    <cellStyle name="Normal 108 8 3" xfId="6911"/>
    <cellStyle name="Normal 108 9" xfId="2519"/>
    <cellStyle name="Normal 108 9 2" xfId="3445"/>
    <cellStyle name="Normal 108 9 2 2" xfId="7867"/>
    <cellStyle name="Normal 108 9 3" xfId="6998"/>
    <cellStyle name="Normal 109" xfId="589"/>
    <cellStyle name="Normal 109 10" xfId="2684"/>
    <cellStyle name="Normal 109 10 2" xfId="7126"/>
    <cellStyle name="Normal 109 11" xfId="3613"/>
    <cellStyle name="Normal 109 11 2" xfId="8021"/>
    <cellStyle name="Normal 109 12" xfId="3713"/>
    <cellStyle name="Normal 109 12 2" xfId="8111"/>
    <cellStyle name="Normal 109 13" xfId="3818"/>
    <cellStyle name="Normal 109 13 2" xfId="8207"/>
    <cellStyle name="Normal 109 14" xfId="3913"/>
    <cellStyle name="Normal 109 14 2" xfId="8295"/>
    <cellStyle name="Normal 109 15" xfId="4006"/>
    <cellStyle name="Normal 109 15 2" xfId="8384"/>
    <cellStyle name="Normal 109 16" xfId="4101"/>
    <cellStyle name="Normal 109 16 2" xfId="8471"/>
    <cellStyle name="Normal 109 17" xfId="4204"/>
    <cellStyle name="Normal 109 17 2" xfId="8565"/>
    <cellStyle name="Normal 109 18" xfId="4298"/>
    <cellStyle name="Normal 109 18 2" xfId="8654"/>
    <cellStyle name="Normal 109 19" xfId="4390"/>
    <cellStyle name="Normal 109 19 2" xfId="8741"/>
    <cellStyle name="Normal 109 2" xfId="1469"/>
    <cellStyle name="Normal 109 2 2" xfId="2778"/>
    <cellStyle name="Normal 109 2 2 2" xfId="7219"/>
    <cellStyle name="Normal 109 2 3" xfId="6367"/>
    <cellStyle name="Normal 109 20" xfId="4482"/>
    <cellStyle name="Normal 109 20 2" xfId="8829"/>
    <cellStyle name="Normal 109 21" xfId="4578"/>
    <cellStyle name="Normal 109 21 2" xfId="8918"/>
    <cellStyle name="Normal 109 22" xfId="4672"/>
    <cellStyle name="Normal 109 22 2" xfId="9006"/>
    <cellStyle name="Normal 109 23" xfId="4765"/>
    <cellStyle name="Normal 109 23 2" xfId="9094"/>
    <cellStyle name="Normal 109 24" xfId="4858"/>
    <cellStyle name="Normal 109 24 2" xfId="9183"/>
    <cellStyle name="Normal 109 25" xfId="4952"/>
    <cellStyle name="Normal 109 25 2" xfId="9272"/>
    <cellStyle name="Normal 109 26" xfId="5046"/>
    <cellStyle name="Normal 109 26 2" xfId="9360"/>
    <cellStyle name="Normal 109 27" xfId="5142"/>
    <cellStyle name="Normal 109 27 2" xfId="9447"/>
    <cellStyle name="Normal 109 28" xfId="5241"/>
    <cellStyle name="Normal 109 28 2" xfId="9540"/>
    <cellStyle name="Normal 109 29" xfId="5344"/>
    <cellStyle name="Normal 109 29 2" xfId="9631"/>
    <cellStyle name="Normal 109 3" xfId="1573"/>
    <cellStyle name="Normal 109 3 2" xfId="2868"/>
    <cellStyle name="Normal 109 3 2 2" xfId="7309"/>
    <cellStyle name="Normal 109 3 3" xfId="6457"/>
    <cellStyle name="Normal 109 30" xfId="5865"/>
    <cellStyle name="Normal 109 30 2" xfId="10057"/>
    <cellStyle name="Normal 109 31" xfId="5958"/>
    <cellStyle name="Normal 109 31 2" xfId="10144"/>
    <cellStyle name="Normal 109 32" xfId="6055"/>
    <cellStyle name="Normal 109 32 2" xfId="10233"/>
    <cellStyle name="Normal 109 33" xfId="6147"/>
    <cellStyle name="Normal 109 33 2" xfId="10321"/>
    <cellStyle name="Normal 109 34" xfId="1336"/>
    <cellStyle name="Normal 109 35" xfId="6275"/>
    <cellStyle name="Normal 109 4" xfId="1683"/>
    <cellStyle name="Normal 109 4 2" xfId="2958"/>
    <cellStyle name="Normal 109 4 2 2" xfId="7397"/>
    <cellStyle name="Normal 109 4 3" xfId="6546"/>
    <cellStyle name="Normal 109 5" xfId="1807"/>
    <cellStyle name="Normal 109 5 2" xfId="3051"/>
    <cellStyle name="Normal 109 5 2 2" xfId="7489"/>
    <cellStyle name="Normal 109 5 3" xfId="6636"/>
    <cellStyle name="Normal 109 6" xfId="2091"/>
    <cellStyle name="Normal 109 7" xfId="2329"/>
    <cellStyle name="Normal 109 7 2" xfId="3267"/>
    <cellStyle name="Normal 109 7 2 2" xfId="7689"/>
    <cellStyle name="Normal 109 7 3" xfId="6824"/>
    <cellStyle name="Normal 109 8" xfId="2419"/>
    <cellStyle name="Normal 109 8 2" xfId="3356"/>
    <cellStyle name="Normal 109 8 2 2" xfId="7778"/>
    <cellStyle name="Normal 109 8 3" xfId="6912"/>
    <cellStyle name="Normal 109 9" xfId="2520"/>
    <cellStyle name="Normal 109 9 2" xfId="3446"/>
    <cellStyle name="Normal 109 9 2 2" xfId="7868"/>
    <cellStyle name="Normal 109 9 3" xfId="6999"/>
    <cellStyle name="Normal 11" xfId="590"/>
    <cellStyle name="Normal 11 2" xfId="591"/>
    <cellStyle name="Normal 11 2 2" xfId="978"/>
    <cellStyle name="Normal 11 2 2 2" xfId="2093"/>
    <cellStyle name="Normal 11 2 3" xfId="1337"/>
    <cellStyle name="Normal 11 3" xfId="592"/>
    <cellStyle name="Normal 11 4" xfId="2092"/>
    <cellStyle name="Normal 110" xfId="593"/>
    <cellStyle name="Normal 110 10" xfId="2685"/>
    <cellStyle name="Normal 110 10 2" xfId="7127"/>
    <cellStyle name="Normal 110 11" xfId="3614"/>
    <cellStyle name="Normal 110 11 2" xfId="8022"/>
    <cellStyle name="Normal 110 12" xfId="3714"/>
    <cellStyle name="Normal 110 12 2" xfId="8112"/>
    <cellStyle name="Normal 110 13" xfId="3819"/>
    <cellStyle name="Normal 110 13 2" xfId="8208"/>
    <cellStyle name="Normal 110 14" xfId="3914"/>
    <cellStyle name="Normal 110 14 2" xfId="8296"/>
    <cellStyle name="Normal 110 15" xfId="4007"/>
    <cellStyle name="Normal 110 15 2" xfId="8385"/>
    <cellStyle name="Normal 110 16" xfId="4102"/>
    <cellStyle name="Normal 110 16 2" xfId="8472"/>
    <cellStyle name="Normal 110 17" xfId="4205"/>
    <cellStyle name="Normal 110 17 2" xfId="8566"/>
    <cellStyle name="Normal 110 18" xfId="4299"/>
    <cellStyle name="Normal 110 18 2" xfId="8655"/>
    <cellStyle name="Normal 110 19" xfId="4391"/>
    <cellStyle name="Normal 110 19 2" xfId="8742"/>
    <cellStyle name="Normal 110 2" xfId="1470"/>
    <cellStyle name="Normal 110 2 2" xfId="2779"/>
    <cellStyle name="Normal 110 2 2 2" xfId="7220"/>
    <cellStyle name="Normal 110 2 3" xfId="6368"/>
    <cellStyle name="Normal 110 20" xfId="4483"/>
    <cellStyle name="Normal 110 20 2" xfId="8830"/>
    <cellStyle name="Normal 110 21" xfId="4579"/>
    <cellStyle name="Normal 110 21 2" xfId="8919"/>
    <cellStyle name="Normal 110 22" xfId="4673"/>
    <cellStyle name="Normal 110 22 2" xfId="9007"/>
    <cellStyle name="Normal 110 23" xfId="4766"/>
    <cellStyle name="Normal 110 23 2" xfId="9095"/>
    <cellStyle name="Normal 110 24" xfId="4859"/>
    <cellStyle name="Normal 110 24 2" xfId="9184"/>
    <cellStyle name="Normal 110 25" xfId="4953"/>
    <cellStyle name="Normal 110 25 2" xfId="9273"/>
    <cellStyle name="Normal 110 26" xfId="5047"/>
    <cellStyle name="Normal 110 26 2" xfId="9361"/>
    <cellStyle name="Normal 110 27" xfId="5143"/>
    <cellStyle name="Normal 110 27 2" xfId="9448"/>
    <cellStyle name="Normal 110 28" xfId="5242"/>
    <cellStyle name="Normal 110 28 2" xfId="9541"/>
    <cellStyle name="Normal 110 29" xfId="5345"/>
    <cellStyle name="Normal 110 29 2" xfId="9632"/>
    <cellStyle name="Normal 110 3" xfId="1574"/>
    <cellStyle name="Normal 110 3 2" xfId="2869"/>
    <cellStyle name="Normal 110 3 2 2" xfId="7310"/>
    <cellStyle name="Normal 110 3 3" xfId="6458"/>
    <cellStyle name="Normal 110 30" xfId="5866"/>
    <cellStyle name="Normal 110 30 2" xfId="10058"/>
    <cellStyle name="Normal 110 31" xfId="5959"/>
    <cellStyle name="Normal 110 31 2" xfId="10145"/>
    <cellStyle name="Normal 110 32" xfId="6056"/>
    <cellStyle name="Normal 110 32 2" xfId="10234"/>
    <cellStyle name="Normal 110 33" xfId="6148"/>
    <cellStyle name="Normal 110 33 2" xfId="10322"/>
    <cellStyle name="Normal 110 34" xfId="1338"/>
    <cellStyle name="Normal 110 35" xfId="6276"/>
    <cellStyle name="Normal 110 4" xfId="1684"/>
    <cellStyle name="Normal 110 4 2" xfId="2959"/>
    <cellStyle name="Normal 110 4 2 2" xfId="7398"/>
    <cellStyle name="Normal 110 4 3" xfId="6547"/>
    <cellStyle name="Normal 110 5" xfId="1809"/>
    <cellStyle name="Normal 110 5 2" xfId="3052"/>
    <cellStyle name="Normal 110 5 2 2" xfId="7490"/>
    <cellStyle name="Normal 110 5 3" xfId="6637"/>
    <cellStyle name="Normal 110 6" xfId="2094"/>
    <cellStyle name="Normal 110 7" xfId="2330"/>
    <cellStyle name="Normal 110 7 2" xfId="3268"/>
    <cellStyle name="Normal 110 7 2 2" xfId="7690"/>
    <cellStyle name="Normal 110 7 3" xfId="6825"/>
    <cellStyle name="Normal 110 8" xfId="2420"/>
    <cellStyle name="Normal 110 8 2" xfId="3357"/>
    <cellStyle name="Normal 110 8 2 2" xfId="7779"/>
    <cellStyle name="Normal 110 8 3" xfId="6913"/>
    <cellStyle name="Normal 110 9" xfId="2521"/>
    <cellStyle name="Normal 110 9 2" xfId="3447"/>
    <cellStyle name="Normal 110 9 2 2" xfId="7869"/>
    <cellStyle name="Normal 110 9 3" xfId="7000"/>
    <cellStyle name="Normal 111" xfId="594"/>
    <cellStyle name="Normal 111 10" xfId="2686"/>
    <cellStyle name="Normal 111 10 2" xfId="7128"/>
    <cellStyle name="Normal 111 11" xfId="3615"/>
    <cellStyle name="Normal 111 11 2" xfId="8023"/>
    <cellStyle name="Normal 111 12" xfId="3715"/>
    <cellStyle name="Normal 111 12 2" xfId="8113"/>
    <cellStyle name="Normal 111 13" xfId="3820"/>
    <cellStyle name="Normal 111 13 2" xfId="8209"/>
    <cellStyle name="Normal 111 14" xfId="3915"/>
    <cellStyle name="Normal 111 14 2" xfId="8297"/>
    <cellStyle name="Normal 111 15" xfId="4008"/>
    <cellStyle name="Normal 111 15 2" xfId="8386"/>
    <cellStyle name="Normal 111 16" xfId="4103"/>
    <cellStyle name="Normal 111 16 2" xfId="8473"/>
    <cellStyle name="Normal 111 17" xfId="4206"/>
    <cellStyle name="Normal 111 17 2" xfId="8567"/>
    <cellStyle name="Normal 111 18" xfId="4300"/>
    <cellStyle name="Normal 111 18 2" xfId="8656"/>
    <cellStyle name="Normal 111 19" xfId="4392"/>
    <cellStyle name="Normal 111 19 2" xfId="8743"/>
    <cellStyle name="Normal 111 2" xfId="1471"/>
    <cellStyle name="Normal 111 2 2" xfId="2780"/>
    <cellStyle name="Normal 111 2 2 2" xfId="7221"/>
    <cellStyle name="Normal 111 2 3" xfId="6369"/>
    <cellStyle name="Normal 111 20" xfId="4484"/>
    <cellStyle name="Normal 111 20 2" xfId="8831"/>
    <cellStyle name="Normal 111 21" xfId="4580"/>
    <cellStyle name="Normal 111 21 2" xfId="8920"/>
    <cellStyle name="Normal 111 22" xfId="4674"/>
    <cellStyle name="Normal 111 22 2" xfId="9008"/>
    <cellStyle name="Normal 111 23" xfId="4767"/>
    <cellStyle name="Normal 111 23 2" xfId="9096"/>
    <cellStyle name="Normal 111 24" xfId="4860"/>
    <cellStyle name="Normal 111 24 2" xfId="9185"/>
    <cellStyle name="Normal 111 25" xfId="4954"/>
    <cellStyle name="Normal 111 25 2" xfId="9274"/>
    <cellStyle name="Normal 111 26" xfId="5048"/>
    <cellStyle name="Normal 111 26 2" xfId="9362"/>
    <cellStyle name="Normal 111 27" xfId="5144"/>
    <cellStyle name="Normal 111 27 2" xfId="9449"/>
    <cellStyle name="Normal 111 28" xfId="5243"/>
    <cellStyle name="Normal 111 28 2" xfId="9542"/>
    <cellStyle name="Normal 111 29" xfId="5346"/>
    <cellStyle name="Normal 111 29 2" xfId="9633"/>
    <cellStyle name="Normal 111 3" xfId="1575"/>
    <cellStyle name="Normal 111 3 2" xfId="2870"/>
    <cellStyle name="Normal 111 3 2 2" xfId="7311"/>
    <cellStyle name="Normal 111 3 3" xfId="6459"/>
    <cellStyle name="Normal 111 30" xfId="5867"/>
    <cellStyle name="Normal 111 30 2" xfId="10059"/>
    <cellStyle name="Normal 111 31" xfId="5960"/>
    <cellStyle name="Normal 111 31 2" xfId="10146"/>
    <cellStyle name="Normal 111 32" xfId="6057"/>
    <cellStyle name="Normal 111 32 2" xfId="10235"/>
    <cellStyle name="Normal 111 33" xfId="6149"/>
    <cellStyle name="Normal 111 33 2" xfId="10323"/>
    <cellStyle name="Normal 111 34" xfId="1339"/>
    <cellStyle name="Normal 111 35" xfId="6277"/>
    <cellStyle name="Normal 111 4" xfId="1685"/>
    <cellStyle name="Normal 111 4 2" xfId="2960"/>
    <cellStyle name="Normal 111 4 2 2" xfId="7399"/>
    <cellStyle name="Normal 111 4 3" xfId="6548"/>
    <cellStyle name="Normal 111 5" xfId="1810"/>
    <cellStyle name="Normal 111 5 2" xfId="3053"/>
    <cellStyle name="Normal 111 5 2 2" xfId="7491"/>
    <cellStyle name="Normal 111 5 3" xfId="6638"/>
    <cellStyle name="Normal 111 6" xfId="2095"/>
    <cellStyle name="Normal 111 7" xfId="2331"/>
    <cellStyle name="Normal 111 7 2" xfId="3269"/>
    <cellStyle name="Normal 111 7 2 2" xfId="7691"/>
    <cellStyle name="Normal 111 7 3" xfId="6826"/>
    <cellStyle name="Normal 111 8" xfId="2421"/>
    <cellStyle name="Normal 111 8 2" xfId="3358"/>
    <cellStyle name="Normal 111 8 2 2" xfId="7780"/>
    <cellStyle name="Normal 111 8 3" xfId="6914"/>
    <cellStyle name="Normal 111 9" xfId="2522"/>
    <cellStyle name="Normal 111 9 2" xfId="3448"/>
    <cellStyle name="Normal 111 9 2 2" xfId="7870"/>
    <cellStyle name="Normal 111 9 3" xfId="7001"/>
    <cellStyle name="Normal 112" xfId="595"/>
    <cellStyle name="Normal 112 10" xfId="2687"/>
    <cellStyle name="Normal 112 10 2" xfId="7129"/>
    <cellStyle name="Normal 112 11" xfId="3616"/>
    <cellStyle name="Normal 112 11 2" xfId="8024"/>
    <cellStyle name="Normal 112 12" xfId="3716"/>
    <cellStyle name="Normal 112 12 2" xfId="8114"/>
    <cellStyle name="Normal 112 13" xfId="3821"/>
    <cellStyle name="Normal 112 13 2" xfId="8210"/>
    <cellStyle name="Normal 112 14" xfId="3916"/>
    <cellStyle name="Normal 112 14 2" xfId="8298"/>
    <cellStyle name="Normal 112 15" xfId="4009"/>
    <cellStyle name="Normal 112 15 2" xfId="8387"/>
    <cellStyle name="Normal 112 16" xfId="4104"/>
    <cellStyle name="Normal 112 16 2" xfId="8474"/>
    <cellStyle name="Normal 112 17" xfId="4207"/>
    <cellStyle name="Normal 112 17 2" xfId="8568"/>
    <cellStyle name="Normal 112 18" xfId="4301"/>
    <cellStyle name="Normal 112 18 2" xfId="8657"/>
    <cellStyle name="Normal 112 19" xfId="4393"/>
    <cellStyle name="Normal 112 19 2" xfId="8744"/>
    <cellStyle name="Normal 112 2" xfId="1472"/>
    <cellStyle name="Normal 112 2 2" xfId="2781"/>
    <cellStyle name="Normal 112 2 2 2" xfId="7222"/>
    <cellStyle name="Normal 112 2 3" xfId="6370"/>
    <cellStyle name="Normal 112 20" xfId="4485"/>
    <cellStyle name="Normal 112 20 2" xfId="8832"/>
    <cellStyle name="Normal 112 21" xfId="4581"/>
    <cellStyle name="Normal 112 21 2" xfId="8921"/>
    <cellStyle name="Normal 112 22" xfId="4675"/>
    <cellStyle name="Normal 112 22 2" xfId="9009"/>
    <cellStyle name="Normal 112 23" xfId="4768"/>
    <cellStyle name="Normal 112 23 2" xfId="9097"/>
    <cellStyle name="Normal 112 24" xfId="4861"/>
    <cellStyle name="Normal 112 24 2" xfId="9186"/>
    <cellStyle name="Normal 112 25" xfId="4955"/>
    <cellStyle name="Normal 112 25 2" xfId="9275"/>
    <cellStyle name="Normal 112 26" xfId="5049"/>
    <cellStyle name="Normal 112 26 2" xfId="9363"/>
    <cellStyle name="Normal 112 27" xfId="5145"/>
    <cellStyle name="Normal 112 27 2" xfId="9450"/>
    <cellStyle name="Normal 112 28" xfId="5244"/>
    <cellStyle name="Normal 112 28 2" xfId="9543"/>
    <cellStyle name="Normal 112 29" xfId="5347"/>
    <cellStyle name="Normal 112 29 2" xfId="9634"/>
    <cellStyle name="Normal 112 3" xfId="1576"/>
    <cellStyle name="Normal 112 3 2" xfId="2871"/>
    <cellStyle name="Normal 112 3 2 2" xfId="7312"/>
    <cellStyle name="Normal 112 3 3" xfId="6460"/>
    <cellStyle name="Normal 112 30" xfId="5868"/>
    <cellStyle name="Normal 112 30 2" xfId="10060"/>
    <cellStyle name="Normal 112 31" xfId="5961"/>
    <cellStyle name="Normal 112 31 2" xfId="10147"/>
    <cellStyle name="Normal 112 32" xfId="6058"/>
    <cellStyle name="Normal 112 32 2" xfId="10236"/>
    <cellStyle name="Normal 112 33" xfId="6150"/>
    <cellStyle name="Normal 112 33 2" xfId="10324"/>
    <cellStyle name="Normal 112 34" xfId="1340"/>
    <cellStyle name="Normal 112 35" xfId="6278"/>
    <cellStyle name="Normal 112 4" xfId="1686"/>
    <cellStyle name="Normal 112 4 2" xfId="2961"/>
    <cellStyle name="Normal 112 4 2 2" xfId="7400"/>
    <cellStyle name="Normal 112 4 3" xfId="6549"/>
    <cellStyle name="Normal 112 5" xfId="1811"/>
    <cellStyle name="Normal 112 5 2" xfId="3054"/>
    <cellStyle name="Normal 112 5 2 2" xfId="7492"/>
    <cellStyle name="Normal 112 5 3" xfId="6639"/>
    <cellStyle name="Normal 112 6" xfId="2096"/>
    <cellStyle name="Normal 112 7" xfId="2332"/>
    <cellStyle name="Normal 112 7 2" xfId="3270"/>
    <cellStyle name="Normal 112 7 2 2" xfId="7692"/>
    <cellStyle name="Normal 112 7 3" xfId="6827"/>
    <cellStyle name="Normal 112 8" xfId="2422"/>
    <cellStyle name="Normal 112 8 2" xfId="3359"/>
    <cellStyle name="Normal 112 8 2 2" xfId="7781"/>
    <cellStyle name="Normal 112 8 3" xfId="6915"/>
    <cellStyle name="Normal 112 9" xfId="2523"/>
    <cellStyle name="Normal 112 9 2" xfId="3449"/>
    <cellStyle name="Normal 112 9 2 2" xfId="7871"/>
    <cellStyle name="Normal 112 9 3" xfId="7002"/>
    <cellStyle name="Normal 113" xfId="596"/>
    <cellStyle name="Normal 113 10" xfId="2688"/>
    <cellStyle name="Normal 113 10 2" xfId="7130"/>
    <cellStyle name="Normal 113 11" xfId="3617"/>
    <cellStyle name="Normal 113 11 2" xfId="8025"/>
    <cellStyle name="Normal 113 12" xfId="3717"/>
    <cellStyle name="Normal 113 12 2" xfId="8115"/>
    <cellStyle name="Normal 113 13" xfId="3822"/>
    <cellStyle name="Normal 113 13 2" xfId="8211"/>
    <cellStyle name="Normal 113 14" xfId="3917"/>
    <cellStyle name="Normal 113 14 2" xfId="8299"/>
    <cellStyle name="Normal 113 15" xfId="4010"/>
    <cellStyle name="Normal 113 15 2" xfId="8388"/>
    <cellStyle name="Normal 113 16" xfId="4105"/>
    <cellStyle name="Normal 113 16 2" xfId="8475"/>
    <cellStyle name="Normal 113 17" xfId="4208"/>
    <cellStyle name="Normal 113 17 2" xfId="8569"/>
    <cellStyle name="Normal 113 18" xfId="4302"/>
    <cellStyle name="Normal 113 18 2" xfId="8658"/>
    <cellStyle name="Normal 113 19" xfId="4394"/>
    <cellStyle name="Normal 113 19 2" xfId="8745"/>
    <cellStyle name="Normal 113 2" xfId="1473"/>
    <cellStyle name="Normal 113 2 2" xfId="2782"/>
    <cellStyle name="Normal 113 2 2 2" xfId="7223"/>
    <cellStyle name="Normal 113 2 3" xfId="6371"/>
    <cellStyle name="Normal 113 20" xfId="4486"/>
    <cellStyle name="Normal 113 20 2" xfId="8833"/>
    <cellStyle name="Normal 113 21" xfId="4582"/>
    <cellStyle name="Normal 113 21 2" xfId="8922"/>
    <cellStyle name="Normal 113 22" xfId="4676"/>
    <cellStyle name="Normal 113 22 2" xfId="9010"/>
    <cellStyle name="Normal 113 23" xfId="4769"/>
    <cellStyle name="Normal 113 23 2" xfId="9098"/>
    <cellStyle name="Normal 113 24" xfId="4862"/>
    <cellStyle name="Normal 113 24 2" xfId="9187"/>
    <cellStyle name="Normal 113 25" xfId="4956"/>
    <cellStyle name="Normal 113 25 2" xfId="9276"/>
    <cellStyle name="Normal 113 26" xfId="5050"/>
    <cellStyle name="Normal 113 26 2" xfId="9364"/>
    <cellStyle name="Normal 113 27" xfId="5146"/>
    <cellStyle name="Normal 113 27 2" xfId="9451"/>
    <cellStyle name="Normal 113 28" xfId="5245"/>
    <cellStyle name="Normal 113 28 2" xfId="9544"/>
    <cellStyle name="Normal 113 29" xfId="5348"/>
    <cellStyle name="Normal 113 29 2" xfId="9635"/>
    <cellStyle name="Normal 113 3" xfId="1577"/>
    <cellStyle name="Normal 113 3 2" xfId="2872"/>
    <cellStyle name="Normal 113 3 2 2" xfId="7313"/>
    <cellStyle name="Normal 113 3 3" xfId="6461"/>
    <cellStyle name="Normal 113 30" xfId="5869"/>
    <cellStyle name="Normal 113 30 2" xfId="10061"/>
    <cellStyle name="Normal 113 31" xfId="5962"/>
    <cellStyle name="Normal 113 31 2" xfId="10148"/>
    <cellStyle name="Normal 113 32" xfId="6059"/>
    <cellStyle name="Normal 113 32 2" xfId="10237"/>
    <cellStyle name="Normal 113 33" xfId="6151"/>
    <cellStyle name="Normal 113 33 2" xfId="10325"/>
    <cellStyle name="Normal 113 34" xfId="1341"/>
    <cellStyle name="Normal 113 35" xfId="6279"/>
    <cellStyle name="Normal 113 4" xfId="1687"/>
    <cellStyle name="Normal 113 4 2" xfId="2962"/>
    <cellStyle name="Normal 113 4 2 2" xfId="7401"/>
    <cellStyle name="Normal 113 4 3" xfId="6550"/>
    <cellStyle name="Normal 113 5" xfId="1812"/>
    <cellStyle name="Normal 113 5 2" xfId="3055"/>
    <cellStyle name="Normal 113 5 2 2" xfId="7493"/>
    <cellStyle name="Normal 113 5 3" xfId="6640"/>
    <cellStyle name="Normal 113 6" xfId="2097"/>
    <cellStyle name="Normal 113 7" xfId="2333"/>
    <cellStyle name="Normal 113 7 2" xfId="3271"/>
    <cellStyle name="Normal 113 7 2 2" xfId="7693"/>
    <cellStyle name="Normal 113 7 3" xfId="6828"/>
    <cellStyle name="Normal 113 8" xfId="2423"/>
    <cellStyle name="Normal 113 8 2" xfId="3360"/>
    <cellStyle name="Normal 113 8 2 2" xfId="7782"/>
    <cellStyle name="Normal 113 8 3" xfId="6916"/>
    <cellStyle name="Normal 113 9" xfId="2524"/>
    <cellStyle name="Normal 113 9 2" xfId="3450"/>
    <cellStyle name="Normal 113 9 2 2" xfId="7872"/>
    <cellStyle name="Normal 113 9 3" xfId="7003"/>
    <cellStyle name="Normal 114" xfId="597"/>
    <cellStyle name="Normal 114 10" xfId="2689"/>
    <cellStyle name="Normal 114 10 2" xfId="7131"/>
    <cellStyle name="Normal 114 11" xfId="3618"/>
    <cellStyle name="Normal 114 11 2" xfId="8026"/>
    <cellStyle name="Normal 114 12" xfId="3718"/>
    <cellStyle name="Normal 114 12 2" xfId="8116"/>
    <cellStyle name="Normal 114 13" xfId="3823"/>
    <cellStyle name="Normal 114 13 2" xfId="8212"/>
    <cellStyle name="Normal 114 14" xfId="3918"/>
    <cellStyle name="Normal 114 14 2" xfId="8300"/>
    <cellStyle name="Normal 114 15" xfId="4011"/>
    <cellStyle name="Normal 114 15 2" xfId="8389"/>
    <cellStyle name="Normal 114 16" xfId="4106"/>
    <cellStyle name="Normal 114 16 2" xfId="8476"/>
    <cellStyle name="Normal 114 17" xfId="4209"/>
    <cellStyle name="Normal 114 17 2" xfId="8570"/>
    <cellStyle name="Normal 114 18" xfId="4303"/>
    <cellStyle name="Normal 114 18 2" xfId="8659"/>
    <cellStyle name="Normal 114 19" xfId="4395"/>
    <cellStyle name="Normal 114 19 2" xfId="8746"/>
    <cellStyle name="Normal 114 2" xfId="1474"/>
    <cellStyle name="Normal 114 2 2" xfId="2783"/>
    <cellStyle name="Normal 114 2 2 2" xfId="7224"/>
    <cellStyle name="Normal 114 2 3" xfId="6372"/>
    <cellStyle name="Normal 114 20" xfId="4487"/>
    <cellStyle name="Normal 114 20 2" xfId="8834"/>
    <cellStyle name="Normal 114 21" xfId="4583"/>
    <cellStyle name="Normal 114 21 2" xfId="8923"/>
    <cellStyle name="Normal 114 22" xfId="4677"/>
    <cellStyle name="Normal 114 22 2" xfId="9011"/>
    <cellStyle name="Normal 114 23" xfId="4770"/>
    <cellStyle name="Normal 114 23 2" xfId="9099"/>
    <cellStyle name="Normal 114 24" xfId="4863"/>
    <cellStyle name="Normal 114 24 2" xfId="9188"/>
    <cellStyle name="Normal 114 25" xfId="4957"/>
    <cellStyle name="Normal 114 25 2" xfId="9277"/>
    <cellStyle name="Normal 114 26" xfId="5051"/>
    <cellStyle name="Normal 114 26 2" xfId="9365"/>
    <cellStyle name="Normal 114 27" xfId="5147"/>
    <cellStyle name="Normal 114 27 2" xfId="9452"/>
    <cellStyle name="Normal 114 28" xfId="5246"/>
    <cellStyle name="Normal 114 28 2" xfId="9545"/>
    <cellStyle name="Normal 114 29" xfId="5349"/>
    <cellStyle name="Normal 114 29 2" xfId="9636"/>
    <cellStyle name="Normal 114 3" xfId="1578"/>
    <cellStyle name="Normal 114 3 2" xfId="2873"/>
    <cellStyle name="Normal 114 3 2 2" xfId="7314"/>
    <cellStyle name="Normal 114 3 3" xfId="6462"/>
    <cellStyle name="Normal 114 30" xfId="5870"/>
    <cellStyle name="Normal 114 30 2" xfId="10062"/>
    <cellStyle name="Normal 114 31" xfId="5963"/>
    <cellStyle name="Normal 114 31 2" xfId="10149"/>
    <cellStyle name="Normal 114 32" xfId="6060"/>
    <cellStyle name="Normal 114 32 2" xfId="10238"/>
    <cellStyle name="Normal 114 33" xfId="6152"/>
    <cellStyle name="Normal 114 33 2" xfId="10326"/>
    <cellStyle name="Normal 114 34" xfId="1342"/>
    <cellStyle name="Normal 114 35" xfId="6280"/>
    <cellStyle name="Normal 114 4" xfId="1688"/>
    <cellStyle name="Normal 114 4 2" xfId="2963"/>
    <cellStyle name="Normal 114 4 2 2" xfId="7402"/>
    <cellStyle name="Normal 114 4 3" xfId="6551"/>
    <cellStyle name="Normal 114 5" xfId="1813"/>
    <cellStyle name="Normal 114 5 2" xfId="3056"/>
    <cellStyle name="Normal 114 5 2 2" xfId="7494"/>
    <cellStyle name="Normal 114 5 3" xfId="6641"/>
    <cellStyle name="Normal 114 6" xfId="2098"/>
    <cellStyle name="Normal 114 7" xfId="2334"/>
    <cellStyle name="Normal 114 7 2" xfId="3272"/>
    <cellStyle name="Normal 114 7 2 2" xfId="7694"/>
    <cellStyle name="Normal 114 7 3" xfId="6829"/>
    <cellStyle name="Normal 114 8" xfId="2424"/>
    <cellStyle name="Normal 114 8 2" xfId="3361"/>
    <cellStyle name="Normal 114 8 2 2" xfId="7783"/>
    <cellStyle name="Normal 114 8 3" xfId="6917"/>
    <cellStyle name="Normal 114 9" xfId="2525"/>
    <cellStyle name="Normal 114 9 2" xfId="3451"/>
    <cellStyle name="Normal 114 9 2 2" xfId="7873"/>
    <cellStyle name="Normal 114 9 3" xfId="7004"/>
    <cellStyle name="Normal 115" xfId="598"/>
    <cellStyle name="Normal 115 10" xfId="2690"/>
    <cellStyle name="Normal 115 10 2" xfId="7132"/>
    <cellStyle name="Normal 115 11" xfId="3619"/>
    <cellStyle name="Normal 115 11 2" xfId="8027"/>
    <cellStyle name="Normal 115 12" xfId="3719"/>
    <cellStyle name="Normal 115 12 2" xfId="8117"/>
    <cellStyle name="Normal 115 13" xfId="3824"/>
    <cellStyle name="Normal 115 13 2" xfId="8213"/>
    <cellStyle name="Normal 115 14" xfId="3919"/>
    <cellStyle name="Normal 115 14 2" xfId="8301"/>
    <cellStyle name="Normal 115 15" xfId="4012"/>
    <cellStyle name="Normal 115 15 2" xfId="8390"/>
    <cellStyle name="Normal 115 16" xfId="4107"/>
    <cellStyle name="Normal 115 16 2" xfId="8477"/>
    <cellStyle name="Normal 115 17" xfId="4210"/>
    <cellStyle name="Normal 115 17 2" xfId="8571"/>
    <cellStyle name="Normal 115 18" xfId="4304"/>
    <cellStyle name="Normal 115 18 2" xfId="8660"/>
    <cellStyle name="Normal 115 19" xfId="4396"/>
    <cellStyle name="Normal 115 19 2" xfId="8747"/>
    <cellStyle name="Normal 115 2" xfId="1475"/>
    <cellStyle name="Normal 115 2 2" xfId="2784"/>
    <cellStyle name="Normal 115 2 2 2" xfId="7225"/>
    <cellStyle name="Normal 115 2 3" xfId="6373"/>
    <cellStyle name="Normal 115 20" xfId="4488"/>
    <cellStyle name="Normal 115 20 2" xfId="8835"/>
    <cellStyle name="Normal 115 21" xfId="4584"/>
    <cellStyle name="Normal 115 21 2" xfId="8924"/>
    <cellStyle name="Normal 115 22" xfId="4678"/>
    <cellStyle name="Normal 115 22 2" xfId="9012"/>
    <cellStyle name="Normal 115 23" xfId="4771"/>
    <cellStyle name="Normal 115 23 2" xfId="9100"/>
    <cellStyle name="Normal 115 24" xfId="4864"/>
    <cellStyle name="Normal 115 24 2" xfId="9189"/>
    <cellStyle name="Normal 115 25" xfId="4958"/>
    <cellStyle name="Normal 115 25 2" xfId="9278"/>
    <cellStyle name="Normal 115 26" xfId="5052"/>
    <cellStyle name="Normal 115 26 2" xfId="9366"/>
    <cellStyle name="Normal 115 27" xfId="5148"/>
    <cellStyle name="Normal 115 27 2" xfId="9453"/>
    <cellStyle name="Normal 115 28" xfId="5247"/>
    <cellStyle name="Normal 115 28 2" xfId="9546"/>
    <cellStyle name="Normal 115 29" xfId="5350"/>
    <cellStyle name="Normal 115 29 2" xfId="9637"/>
    <cellStyle name="Normal 115 3" xfId="1579"/>
    <cellStyle name="Normal 115 3 2" xfId="2874"/>
    <cellStyle name="Normal 115 3 2 2" xfId="7315"/>
    <cellStyle name="Normal 115 3 3" xfId="6463"/>
    <cellStyle name="Normal 115 30" xfId="5871"/>
    <cellStyle name="Normal 115 30 2" xfId="10063"/>
    <cellStyle name="Normal 115 31" xfId="5964"/>
    <cellStyle name="Normal 115 31 2" xfId="10150"/>
    <cellStyle name="Normal 115 32" xfId="6061"/>
    <cellStyle name="Normal 115 32 2" xfId="10239"/>
    <cellStyle name="Normal 115 33" xfId="6153"/>
    <cellStyle name="Normal 115 33 2" xfId="10327"/>
    <cellStyle name="Normal 115 34" xfId="1343"/>
    <cellStyle name="Normal 115 35" xfId="6281"/>
    <cellStyle name="Normal 115 4" xfId="1689"/>
    <cellStyle name="Normal 115 4 2" xfId="2964"/>
    <cellStyle name="Normal 115 4 2 2" xfId="7403"/>
    <cellStyle name="Normal 115 4 3" xfId="6552"/>
    <cellStyle name="Normal 115 5" xfId="1814"/>
    <cellStyle name="Normal 115 5 2" xfId="3057"/>
    <cellStyle name="Normal 115 5 2 2" xfId="7495"/>
    <cellStyle name="Normal 115 5 3" xfId="6642"/>
    <cellStyle name="Normal 115 6" xfId="2099"/>
    <cellStyle name="Normal 115 7" xfId="2335"/>
    <cellStyle name="Normal 115 7 2" xfId="3273"/>
    <cellStyle name="Normal 115 7 2 2" xfId="7695"/>
    <cellStyle name="Normal 115 7 3" xfId="6830"/>
    <cellStyle name="Normal 115 8" xfId="2425"/>
    <cellStyle name="Normal 115 8 2" xfId="3362"/>
    <cellStyle name="Normal 115 8 2 2" xfId="7784"/>
    <cellStyle name="Normal 115 8 3" xfId="6918"/>
    <cellStyle name="Normal 115 9" xfId="2526"/>
    <cellStyle name="Normal 115 9 2" xfId="3452"/>
    <cellStyle name="Normal 115 9 2 2" xfId="7874"/>
    <cellStyle name="Normal 115 9 3" xfId="7005"/>
    <cellStyle name="Normal 116" xfId="599"/>
    <cellStyle name="Normal 116 10" xfId="2691"/>
    <cellStyle name="Normal 116 10 2" xfId="7133"/>
    <cellStyle name="Normal 116 11" xfId="3620"/>
    <cellStyle name="Normal 116 11 2" xfId="8028"/>
    <cellStyle name="Normal 116 12" xfId="3720"/>
    <cellStyle name="Normal 116 12 2" xfId="8118"/>
    <cellStyle name="Normal 116 13" xfId="3825"/>
    <cellStyle name="Normal 116 13 2" xfId="8214"/>
    <cellStyle name="Normal 116 14" xfId="3920"/>
    <cellStyle name="Normal 116 14 2" xfId="8302"/>
    <cellStyle name="Normal 116 15" xfId="4013"/>
    <cellStyle name="Normal 116 15 2" xfId="8391"/>
    <cellStyle name="Normal 116 16" xfId="4108"/>
    <cellStyle name="Normal 116 16 2" xfId="8478"/>
    <cellStyle name="Normal 116 17" xfId="4211"/>
    <cellStyle name="Normal 116 17 2" xfId="8572"/>
    <cellStyle name="Normal 116 18" xfId="4305"/>
    <cellStyle name="Normal 116 18 2" xfId="8661"/>
    <cellStyle name="Normal 116 19" xfId="4397"/>
    <cellStyle name="Normal 116 19 2" xfId="8748"/>
    <cellStyle name="Normal 116 2" xfId="1476"/>
    <cellStyle name="Normal 116 2 2" xfId="2785"/>
    <cellStyle name="Normal 116 2 2 2" xfId="7226"/>
    <cellStyle name="Normal 116 2 3" xfId="6374"/>
    <cellStyle name="Normal 116 20" xfId="4489"/>
    <cellStyle name="Normal 116 20 2" xfId="8836"/>
    <cellStyle name="Normal 116 21" xfId="4585"/>
    <cellStyle name="Normal 116 21 2" xfId="8925"/>
    <cellStyle name="Normal 116 22" xfId="4679"/>
    <cellStyle name="Normal 116 22 2" xfId="9013"/>
    <cellStyle name="Normal 116 23" xfId="4772"/>
    <cellStyle name="Normal 116 23 2" xfId="9101"/>
    <cellStyle name="Normal 116 24" xfId="4865"/>
    <cellStyle name="Normal 116 24 2" xfId="9190"/>
    <cellStyle name="Normal 116 25" xfId="4959"/>
    <cellStyle name="Normal 116 25 2" xfId="9279"/>
    <cellStyle name="Normal 116 26" xfId="5053"/>
    <cellStyle name="Normal 116 26 2" xfId="9367"/>
    <cellStyle name="Normal 116 27" xfId="5149"/>
    <cellStyle name="Normal 116 27 2" xfId="9454"/>
    <cellStyle name="Normal 116 28" xfId="5248"/>
    <cellStyle name="Normal 116 28 2" xfId="9547"/>
    <cellStyle name="Normal 116 29" xfId="5351"/>
    <cellStyle name="Normal 116 29 2" xfId="9638"/>
    <cellStyle name="Normal 116 3" xfId="1580"/>
    <cellStyle name="Normal 116 3 2" xfId="2875"/>
    <cellStyle name="Normal 116 3 2 2" xfId="7316"/>
    <cellStyle name="Normal 116 3 3" xfId="6464"/>
    <cellStyle name="Normal 116 30" xfId="5872"/>
    <cellStyle name="Normal 116 30 2" xfId="10064"/>
    <cellStyle name="Normal 116 31" xfId="5965"/>
    <cellStyle name="Normal 116 31 2" xfId="10151"/>
    <cellStyle name="Normal 116 32" xfId="6062"/>
    <cellStyle name="Normal 116 32 2" xfId="10240"/>
    <cellStyle name="Normal 116 33" xfId="6154"/>
    <cellStyle name="Normal 116 33 2" xfId="10328"/>
    <cellStyle name="Normal 116 34" xfId="1344"/>
    <cellStyle name="Normal 116 35" xfId="6282"/>
    <cellStyle name="Normal 116 4" xfId="1690"/>
    <cellStyle name="Normal 116 4 2" xfId="2965"/>
    <cellStyle name="Normal 116 4 2 2" xfId="7404"/>
    <cellStyle name="Normal 116 4 3" xfId="6553"/>
    <cellStyle name="Normal 116 5" xfId="1815"/>
    <cellStyle name="Normal 116 5 2" xfId="3058"/>
    <cellStyle name="Normal 116 5 2 2" xfId="7496"/>
    <cellStyle name="Normal 116 5 3" xfId="6643"/>
    <cellStyle name="Normal 116 6" xfId="2100"/>
    <cellStyle name="Normal 116 7" xfId="2336"/>
    <cellStyle name="Normal 116 7 2" xfId="3274"/>
    <cellStyle name="Normal 116 7 2 2" xfId="7696"/>
    <cellStyle name="Normal 116 7 3" xfId="6831"/>
    <cellStyle name="Normal 116 8" xfId="2426"/>
    <cellStyle name="Normal 116 8 2" xfId="3363"/>
    <cellStyle name="Normal 116 8 2 2" xfId="7785"/>
    <cellStyle name="Normal 116 8 3" xfId="6919"/>
    <cellStyle name="Normal 116 9" xfId="2527"/>
    <cellStyle name="Normal 116 9 2" xfId="3453"/>
    <cellStyle name="Normal 116 9 2 2" xfId="7875"/>
    <cellStyle name="Normal 116 9 3" xfId="7006"/>
    <cellStyle name="Normal 117" xfId="600"/>
    <cellStyle name="Normal 117 10" xfId="2692"/>
    <cellStyle name="Normal 117 10 2" xfId="7134"/>
    <cellStyle name="Normal 117 11" xfId="3621"/>
    <cellStyle name="Normal 117 11 2" xfId="8029"/>
    <cellStyle name="Normal 117 12" xfId="3721"/>
    <cellStyle name="Normal 117 12 2" xfId="8119"/>
    <cellStyle name="Normal 117 13" xfId="3826"/>
    <cellStyle name="Normal 117 13 2" xfId="8215"/>
    <cellStyle name="Normal 117 14" xfId="3921"/>
    <cellStyle name="Normal 117 14 2" xfId="8303"/>
    <cellStyle name="Normal 117 15" xfId="4014"/>
    <cellStyle name="Normal 117 15 2" xfId="8392"/>
    <cellStyle name="Normal 117 16" xfId="4109"/>
    <cellStyle name="Normal 117 16 2" xfId="8479"/>
    <cellStyle name="Normal 117 17" xfId="4212"/>
    <cellStyle name="Normal 117 17 2" xfId="8573"/>
    <cellStyle name="Normal 117 18" xfId="4306"/>
    <cellStyle name="Normal 117 18 2" xfId="8662"/>
    <cellStyle name="Normal 117 19" xfId="4398"/>
    <cellStyle name="Normal 117 19 2" xfId="8749"/>
    <cellStyle name="Normal 117 2" xfId="1477"/>
    <cellStyle name="Normal 117 2 2" xfId="2786"/>
    <cellStyle name="Normal 117 2 2 2" xfId="7227"/>
    <cellStyle name="Normal 117 2 3" xfId="6375"/>
    <cellStyle name="Normal 117 20" xfId="4490"/>
    <cellStyle name="Normal 117 20 2" xfId="8837"/>
    <cellStyle name="Normal 117 21" xfId="4586"/>
    <cellStyle name="Normal 117 21 2" xfId="8926"/>
    <cellStyle name="Normal 117 22" xfId="4680"/>
    <cellStyle name="Normal 117 22 2" xfId="9014"/>
    <cellStyle name="Normal 117 23" xfId="4773"/>
    <cellStyle name="Normal 117 23 2" xfId="9102"/>
    <cellStyle name="Normal 117 24" xfId="4866"/>
    <cellStyle name="Normal 117 24 2" xfId="9191"/>
    <cellStyle name="Normal 117 25" xfId="4960"/>
    <cellStyle name="Normal 117 25 2" xfId="9280"/>
    <cellStyle name="Normal 117 26" xfId="5054"/>
    <cellStyle name="Normal 117 26 2" xfId="9368"/>
    <cellStyle name="Normal 117 27" xfId="5150"/>
    <cellStyle name="Normal 117 27 2" xfId="9455"/>
    <cellStyle name="Normal 117 28" xfId="5249"/>
    <cellStyle name="Normal 117 28 2" xfId="9548"/>
    <cellStyle name="Normal 117 29" xfId="5352"/>
    <cellStyle name="Normal 117 29 2" xfId="9639"/>
    <cellStyle name="Normal 117 3" xfId="1581"/>
    <cellStyle name="Normal 117 3 2" xfId="2876"/>
    <cellStyle name="Normal 117 3 2 2" xfId="7317"/>
    <cellStyle name="Normal 117 3 3" xfId="6465"/>
    <cellStyle name="Normal 117 30" xfId="5873"/>
    <cellStyle name="Normal 117 30 2" xfId="10065"/>
    <cellStyle name="Normal 117 31" xfId="5966"/>
    <cellStyle name="Normal 117 31 2" xfId="10152"/>
    <cellStyle name="Normal 117 32" xfId="6063"/>
    <cellStyle name="Normal 117 32 2" xfId="10241"/>
    <cellStyle name="Normal 117 33" xfId="6155"/>
    <cellStyle name="Normal 117 33 2" xfId="10329"/>
    <cellStyle name="Normal 117 34" xfId="1345"/>
    <cellStyle name="Normal 117 35" xfId="6283"/>
    <cellStyle name="Normal 117 4" xfId="1691"/>
    <cellStyle name="Normal 117 4 2" xfId="2966"/>
    <cellStyle name="Normal 117 4 2 2" xfId="7405"/>
    <cellStyle name="Normal 117 4 3" xfId="6554"/>
    <cellStyle name="Normal 117 5" xfId="1816"/>
    <cellStyle name="Normal 117 5 2" xfId="3059"/>
    <cellStyle name="Normal 117 5 2 2" xfId="7497"/>
    <cellStyle name="Normal 117 5 3" xfId="6644"/>
    <cellStyle name="Normal 117 6" xfId="2101"/>
    <cellStyle name="Normal 117 7" xfId="2337"/>
    <cellStyle name="Normal 117 7 2" xfId="3275"/>
    <cellStyle name="Normal 117 7 2 2" xfId="7697"/>
    <cellStyle name="Normal 117 7 3" xfId="6832"/>
    <cellStyle name="Normal 117 8" xfId="2427"/>
    <cellStyle name="Normal 117 8 2" xfId="3364"/>
    <cellStyle name="Normal 117 8 2 2" xfId="7786"/>
    <cellStyle name="Normal 117 8 3" xfId="6920"/>
    <cellStyle name="Normal 117 9" xfId="2528"/>
    <cellStyle name="Normal 117 9 2" xfId="3454"/>
    <cellStyle name="Normal 117 9 2 2" xfId="7876"/>
    <cellStyle name="Normal 117 9 3" xfId="7007"/>
    <cellStyle name="Normal 118" xfId="601"/>
    <cellStyle name="Normal 118 2" xfId="2102"/>
    <cellStyle name="Normal 118 3" xfId="1346"/>
    <cellStyle name="Normal 119" xfId="602"/>
    <cellStyle name="Normal 119 2" xfId="2103"/>
    <cellStyle name="Normal 119 3" xfId="1347"/>
    <cellStyle name="Normal 12" xfId="603"/>
    <cellStyle name="Normal 12 2" xfId="604"/>
    <cellStyle name="Normal 12 2 2" xfId="979"/>
    <cellStyle name="Normal 12 2 2 2" xfId="2105"/>
    <cellStyle name="Normal 12 2 3" xfId="1348"/>
    <cellStyle name="Normal 12 3" xfId="605"/>
    <cellStyle name="Normal 12 3 2" xfId="3192"/>
    <cellStyle name="Normal 12 3 2 2" xfId="7618"/>
    <cellStyle name="Normal 12 3 3" xfId="2106"/>
    <cellStyle name="Normal 12 3 4" xfId="6757"/>
    <cellStyle name="Normal 12 4" xfId="2104"/>
    <cellStyle name="Normal 12 5" xfId="2647"/>
    <cellStyle name="Normal 12 5 2" xfId="7092"/>
    <cellStyle name="Normal 12 6" xfId="1232"/>
    <cellStyle name="Normal 12 7" xfId="6248"/>
    <cellStyle name="Normal 120" xfId="606"/>
    <cellStyle name="Normal 120 2" xfId="2107"/>
    <cellStyle name="Normal 120 3" xfId="3209"/>
    <cellStyle name="Normal 120 4" xfId="1244"/>
    <cellStyle name="Normal 121" xfId="607"/>
    <cellStyle name="Normal 121 2" xfId="2108"/>
    <cellStyle name="Normal 121 3" xfId="2632"/>
    <cellStyle name="Normal 121 4" xfId="1454"/>
    <cellStyle name="Normal 122" xfId="608"/>
    <cellStyle name="Normal 122 2" xfId="2109"/>
    <cellStyle name="Normal 122 3" xfId="3130"/>
    <cellStyle name="Normal 122 4" xfId="1455"/>
    <cellStyle name="Normal 123" xfId="609"/>
    <cellStyle name="Normal 123 2" xfId="2110"/>
    <cellStyle name="Normal 123 3" xfId="2669"/>
    <cellStyle name="Normal 123 4" xfId="1549"/>
    <cellStyle name="Normal 124" xfId="912"/>
    <cellStyle name="Normal 124 2" xfId="3186"/>
    <cellStyle name="Normal 124 3" xfId="1550"/>
    <cellStyle name="Normal 125" xfId="914"/>
    <cellStyle name="Normal 125 2" xfId="2947"/>
    <cellStyle name="Normal 125 3" xfId="1551"/>
    <cellStyle name="Normal 126" xfId="932"/>
    <cellStyle name="Normal 126 2" xfId="3590"/>
    <cellStyle name="Normal 126 3" xfId="1552"/>
    <cellStyle name="Normal 127" xfId="917"/>
    <cellStyle name="Normal 127 2" xfId="2945"/>
    <cellStyle name="Normal 127 3" xfId="1553"/>
    <cellStyle name="Normal 128" xfId="933"/>
    <cellStyle name="Normal 128 2" xfId="3596"/>
    <cellStyle name="Normal 128 3" xfId="1554"/>
    <cellStyle name="Normal 129" xfId="934"/>
    <cellStyle name="Normal 129 2" xfId="3523"/>
    <cellStyle name="Normal 129 3" xfId="1555"/>
    <cellStyle name="Normal 13" xfId="610"/>
    <cellStyle name="Normal 13 2" xfId="611"/>
    <cellStyle name="Normal 13 2 2" xfId="980"/>
    <cellStyle name="Normal 13 2 2 2" xfId="2111"/>
    <cellStyle name="Normal 13 2 3" xfId="1349"/>
    <cellStyle name="Normal 130" xfId="940"/>
    <cellStyle name="Normal 130 2" xfId="2663"/>
    <cellStyle name="Normal 130 3" xfId="1556"/>
    <cellStyle name="Normal 131" xfId="944"/>
    <cellStyle name="Normal 131 2" xfId="2633"/>
    <cellStyle name="Normal 131 3" xfId="1557"/>
    <cellStyle name="Normal 132" xfId="949"/>
    <cellStyle name="Normal 132 2" xfId="3171"/>
    <cellStyle name="Normal 132 3" xfId="1558"/>
    <cellStyle name="Normal 133" xfId="969"/>
    <cellStyle name="Normal 133 2" xfId="3185"/>
    <cellStyle name="Normal 133 3" xfId="1559"/>
    <cellStyle name="Normal 134" xfId="997"/>
    <cellStyle name="Normal 134 2" xfId="3592"/>
    <cellStyle name="Normal 134 3" xfId="1560"/>
    <cellStyle name="Normal 135" xfId="967"/>
    <cellStyle name="Normal 135 2" xfId="3183"/>
    <cellStyle name="Normal 135 3" xfId="1561"/>
    <cellStyle name="Normal 136" xfId="998"/>
    <cellStyle name="Normal 136 2" xfId="2765"/>
    <cellStyle name="Normal 136 2 2" xfId="7206"/>
    <cellStyle name="Normal 136 3" xfId="3595"/>
    <cellStyle name="Normal 136 4" xfId="1456"/>
    <cellStyle name="Normal 136 5" xfId="6354"/>
    <cellStyle name="Normal 137" xfId="999"/>
    <cellStyle name="Normal 137 2" xfId="3151"/>
    <cellStyle name="Normal 137 3" xfId="1562"/>
    <cellStyle name="Normal 138" xfId="1000"/>
    <cellStyle name="Normal 138 2" xfId="3210"/>
    <cellStyle name="Normal 138 3" xfId="1650"/>
    <cellStyle name="Normal 139" xfId="1001"/>
    <cellStyle name="Normal 139 2" xfId="3039"/>
    <cellStyle name="Normal 139 3" xfId="1651"/>
    <cellStyle name="Normal 14" xfId="612"/>
    <cellStyle name="Normal 14 2" xfId="613"/>
    <cellStyle name="Normal 14 2 2" xfId="981"/>
    <cellStyle name="Normal 14 2 2 2" xfId="2113"/>
    <cellStyle name="Normal 14 2 3" xfId="1350"/>
    <cellStyle name="Normal 14 3" xfId="614"/>
    <cellStyle name="Normal 14 4" xfId="928"/>
    <cellStyle name="Normal 14 4 2" xfId="3193"/>
    <cellStyle name="Normal 14 4 2 2" xfId="7619"/>
    <cellStyle name="Normal 14 4 3" xfId="2112"/>
    <cellStyle name="Normal 14 4 4" xfId="6758"/>
    <cellStyle name="Normal 14 5" xfId="956"/>
    <cellStyle name="Normal 14 6" xfId="1124"/>
    <cellStyle name="Normal 140" xfId="1002"/>
    <cellStyle name="Normal 140 2" xfId="3141"/>
    <cellStyle name="Normal 140 3" xfId="1652"/>
    <cellStyle name="Normal 141" xfId="1034"/>
    <cellStyle name="Normal 141 2" xfId="3170"/>
    <cellStyle name="Normal 142" xfId="1003"/>
    <cellStyle name="Normal 142 2" xfId="2693"/>
    <cellStyle name="Normal 143" xfId="976"/>
    <cellStyle name="Normal 143 2" xfId="3168"/>
    <cellStyle name="Normal 144" xfId="972"/>
    <cellStyle name="Normal 144 2" xfId="3594"/>
    <cellStyle name="Normal 145" xfId="954"/>
    <cellStyle name="Normal 145 2" xfId="3524"/>
    <cellStyle name="Normal 146" xfId="1035"/>
    <cellStyle name="Normal 146 2" xfId="3622"/>
    <cellStyle name="Normal 146 3" xfId="1653"/>
    <cellStyle name="Normal 147" xfId="1038"/>
    <cellStyle name="Normal 147 2" xfId="3623"/>
    <cellStyle name="Normal 147 3" xfId="1654"/>
    <cellStyle name="Normal 148" xfId="1039"/>
    <cellStyle name="Normal 148 2" xfId="3624"/>
    <cellStyle name="Normal 148 3" xfId="1655"/>
    <cellStyle name="Normal 149" xfId="1040"/>
    <cellStyle name="Normal 149 2" xfId="3625"/>
    <cellStyle name="Normal 149 3" xfId="1656"/>
    <cellStyle name="Normal 15" xfId="615"/>
    <cellStyle name="Normal 15 2" xfId="616"/>
    <cellStyle name="Normal 15 2 2" xfId="982"/>
    <cellStyle name="Normal 15 2 2 2" xfId="2115"/>
    <cellStyle name="Normal 15 2 3" xfId="1351"/>
    <cellStyle name="Normal 15 3" xfId="617"/>
    <cellStyle name="Normal 15 4" xfId="927"/>
    <cellStyle name="Normal 15 4 2" xfId="3194"/>
    <cellStyle name="Normal 15 4 2 2" xfId="7620"/>
    <cellStyle name="Normal 15 4 3" xfId="2114"/>
    <cellStyle name="Normal 15 4 4" xfId="6759"/>
    <cellStyle name="Normal 15 5" xfId="957"/>
    <cellStyle name="Normal 15 6" xfId="1125"/>
    <cellStyle name="Normal 150" xfId="1041"/>
    <cellStyle name="Normal 150 2" xfId="3626"/>
    <cellStyle name="Normal 150 3" xfId="1657"/>
    <cellStyle name="Normal 151" xfId="1045"/>
    <cellStyle name="Normal 151 2" xfId="3722"/>
    <cellStyle name="Normal 151 3" xfId="1658"/>
    <cellStyle name="Normal 152" xfId="1047"/>
    <cellStyle name="Normal 152 2" xfId="3723"/>
    <cellStyle name="Normal 152 3" xfId="1659"/>
    <cellStyle name="Normal 153" xfId="1044"/>
    <cellStyle name="Normal 153 2" xfId="3724"/>
    <cellStyle name="Normal 153 3" xfId="1660"/>
    <cellStyle name="Normal 154" xfId="1054"/>
    <cellStyle name="Normal 154 2" xfId="5322"/>
    <cellStyle name="Normal 154 3" xfId="1661"/>
    <cellStyle name="Normal 155" xfId="1066"/>
    <cellStyle name="Normal 155 2" xfId="5874"/>
    <cellStyle name="Normal 155 3" xfId="1662"/>
    <cellStyle name="Normal 156" xfId="1053"/>
    <cellStyle name="Normal 156 2" xfId="1663"/>
    <cellStyle name="Normal 157" xfId="1067"/>
    <cellStyle name="Normal 157 2" xfId="1664"/>
    <cellStyle name="Normal 158" xfId="1057"/>
    <cellStyle name="Normal 158 2" xfId="1665"/>
    <cellStyle name="Normal 159" xfId="1058"/>
    <cellStyle name="Normal 159 2" xfId="1666"/>
    <cellStyle name="Normal 16" xfId="618"/>
    <cellStyle name="Normal 16 2" xfId="619"/>
    <cellStyle name="Normal 16 2 2" xfId="983"/>
    <cellStyle name="Normal 16 2 2 2" xfId="2117"/>
    <cellStyle name="Normal 16 2 3" xfId="1352"/>
    <cellStyle name="Normal 16 3" xfId="620"/>
    <cellStyle name="Normal 16 4" xfId="926"/>
    <cellStyle name="Normal 16 4 2" xfId="3195"/>
    <cellStyle name="Normal 16 4 2 2" xfId="7621"/>
    <cellStyle name="Normal 16 4 3" xfId="2116"/>
    <cellStyle name="Normal 16 4 4" xfId="6760"/>
    <cellStyle name="Normal 16 5" xfId="958"/>
    <cellStyle name="Normal 16 6" xfId="1126"/>
    <cellStyle name="Normal 160" xfId="1061"/>
    <cellStyle name="Normal 160 2" xfId="1667"/>
    <cellStyle name="Normal 161" xfId="1065"/>
    <cellStyle name="Normal 161 2" xfId="1668"/>
    <cellStyle name="Normal 162" xfId="1069"/>
    <cellStyle name="Normal 162 2" xfId="1669"/>
    <cellStyle name="Normal 163" xfId="1115"/>
    <cellStyle name="Normal 163 2" xfId="1670"/>
    <cellStyle name="Normal 164" xfId="1139"/>
    <cellStyle name="Normal 164 2" xfId="1671"/>
    <cellStyle name="Normal 165" xfId="1140"/>
    <cellStyle name="Normal 166" xfId="1190"/>
    <cellStyle name="Normal 167" xfId="1116"/>
    <cellStyle name="Normal 168" xfId="1191"/>
    <cellStyle name="Normal 168 2" xfId="1672"/>
    <cellStyle name="Normal 169" xfId="1193"/>
    <cellStyle name="Normal 169 2" xfId="1760"/>
    <cellStyle name="Normal 17" xfId="621"/>
    <cellStyle name="Normal 17 2" xfId="622"/>
    <cellStyle name="Normal 17 2 2" xfId="2119"/>
    <cellStyle name="Normal 17 2 3" xfId="1353"/>
    <cellStyle name="Normal 17 3" xfId="623"/>
    <cellStyle name="Normal 17 4" xfId="624"/>
    <cellStyle name="Normal 17 5" xfId="925"/>
    <cellStyle name="Normal 17 5 2" xfId="3196"/>
    <cellStyle name="Normal 17 5 2 2" xfId="7622"/>
    <cellStyle name="Normal 17 5 3" xfId="2118"/>
    <cellStyle name="Normal 17 5 4" xfId="6761"/>
    <cellStyle name="Normal 17 6" xfId="959"/>
    <cellStyle name="Normal 17 7" xfId="1127"/>
    <cellStyle name="Normal 170" xfId="1194"/>
    <cellStyle name="Normal 170 2" xfId="1761"/>
    <cellStyle name="Normal 171" xfId="1195"/>
    <cellStyle name="Normal 171 2" xfId="1762"/>
    <cellStyle name="Normal 172" xfId="1202"/>
    <cellStyle name="Normal 172 2" xfId="1763"/>
    <cellStyle name="Normal 173" xfId="1204"/>
    <cellStyle name="Normal 173 2" xfId="1764"/>
    <cellStyle name="Normal 174" xfId="1205"/>
    <cellStyle name="Normal 174 2" xfId="1765"/>
    <cellStyle name="Normal 175" xfId="1206"/>
    <cellStyle name="Normal 175 2" xfId="1766"/>
    <cellStyle name="Normal 176" xfId="1207"/>
    <cellStyle name="Normal 176 2" xfId="1767"/>
    <cellStyle name="Normal 177" xfId="1208"/>
    <cellStyle name="Normal 177 2" xfId="1768"/>
    <cellStyle name="Normal 178" xfId="1209"/>
    <cellStyle name="Normal 178 2" xfId="1769"/>
    <cellStyle name="Normal 179" xfId="1210"/>
    <cellStyle name="Normal 179 2" xfId="1770"/>
    <cellStyle name="Normal 18" xfId="625"/>
    <cellStyle name="Normal 18 2" xfId="626"/>
    <cellStyle name="Normal 18 2 2" xfId="2121"/>
    <cellStyle name="Normal 18 2 3" xfId="1354"/>
    <cellStyle name="Normal 18 3" xfId="627"/>
    <cellStyle name="Normal 18 4" xfId="924"/>
    <cellStyle name="Normal 18 4 2" xfId="3197"/>
    <cellStyle name="Normal 18 4 2 2" xfId="7623"/>
    <cellStyle name="Normal 18 4 3" xfId="2120"/>
    <cellStyle name="Normal 18 4 4" xfId="6762"/>
    <cellStyle name="Normal 18 5" xfId="960"/>
    <cellStyle name="Normal 18 6" xfId="1128"/>
    <cellStyle name="Normal 180" xfId="1211"/>
    <cellStyle name="Normal 180 2" xfId="1771"/>
    <cellStyle name="Normal 181" xfId="1212"/>
    <cellStyle name="Normal 181 2" xfId="1772"/>
    <cellStyle name="Normal 182" xfId="1213"/>
    <cellStyle name="Normal 182 2" xfId="1773"/>
    <cellStyle name="Normal 183" xfId="1774"/>
    <cellStyle name="Normal 184" xfId="1775"/>
    <cellStyle name="Normal 185" xfId="1776"/>
    <cellStyle name="Normal 186" xfId="1777"/>
    <cellStyle name="Normal 187" xfId="1778"/>
    <cellStyle name="Normal 188" xfId="1779"/>
    <cellStyle name="Normal 189" xfId="1780"/>
    <cellStyle name="Normal 19" xfId="628"/>
    <cellStyle name="Normal 19 2" xfId="629"/>
    <cellStyle name="Normal 19 2 2" xfId="1103"/>
    <cellStyle name="Normal 19 2 2 2" xfId="2123"/>
    <cellStyle name="Normal 19 2 3" xfId="1355"/>
    <cellStyle name="Normal 19 3" xfId="630"/>
    <cellStyle name="Normal 19 4" xfId="923"/>
    <cellStyle name="Normal 19 4 2" xfId="3198"/>
    <cellStyle name="Normal 19 4 2 2" xfId="7624"/>
    <cellStyle name="Normal 19 4 3" xfId="2122"/>
    <cellStyle name="Normal 19 4 4" xfId="6763"/>
    <cellStyle name="Normal 19 5" xfId="970"/>
    <cellStyle name="Normal 19 5 2" xfId="2662"/>
    <cellStyle name="Normal 19 6" xfId="961"/>
    <cellStyle name="Normal 19 7" xfId="1129"/>
    <cellStyle name="Normal 19 8" xfId="1243"/>
    <cellStyle name="Normal 190" xfId="1916"/>
    <cellStyle name="Normal 191" xfId="1962"/>
    <cellStyle name="Normal 192" xfId="1963"/>
    <cellStyle name="Normal 193" xfId="1964"/>
    <cellStyle name="Normal 194" xfId="1965"/>
    <cellStyle name="Normal 195" xfId="1966"/>
    <cellStyle name="Normal 196" xfId="1967"/>
    <cellStyle name="Normal 197" xfId="1968"/>
    <cellStyle name="Normal 198" xfId="1969"/>
    <cellStyle name="Normal 199" xfId="1970"/>
    <cellStyle name="Normal 2" xfId="631"/>
    <cellStyle name="Normal 2 10" xfId="632"/>
    <cellStyle name="Normal 2 10 2" xfId="2124"/>
    <cellStyle name="Normal 2 10 3" xfId="1356"/>
    <cellStyle name="Normal 2 11" xfId="633"/>
    <cellStyle name="Normal 2 11 2" xfId="634"/>
    <cellStyle name="Normal 2 11 2 2" xfId="635"/>
    <cellStyle name="Normal 2 11 3" xfId="1104"/>
    <cellStyle name="Normal 2 11 3 2" xfId="2125"/>
    <cellStyle name="Normal 2 11 4" xfId="1105"/>
    <cellStyle name="Normal 2 12" xfId="636"/>
    <cellStyle name="Normal 2 12 2" xfId="637"/>
    <cellStyle name="Normal 2 13" xfId="5034"/>
    <cellStyle name="Normal 2 14" xfId="5875"/>
    <cellStyle name="Normal 2 2" xfId="638"/>
    <cellStyle name="Normal 2 2 2" xfId="639"/>
    <cellStyle name="Normal 2 2 2 2" xfId="640"/>
    <cellStyle name="Normal 2 2 2 3" xfId="2126"/>
    <cellStyle name="Normal 2 2 3" xfId="641"/>
    <cellStyle name="Normal 2 2 3 2" xfId="2127"/>
    <cellStyle name="Normal 2 2 3 3" xfId="1357"/>
    <cellStyle name="Normal 2 2 4" xfId="642"/>
    <cellStyle name="Normal 2 3" xfId="643"/>
    <cellStyle name="Normal 2 3 2" xfId="644"/>
    <cellStyle name="Normal 2 3 2 2" xfId="1176"/>
    <cellStyle name="Normal 2 3 2 2 2" xfId="2128"/>
    <cellStyle name="Normal 2 3 2 3" xfId="1358"/>
    <cellStyle name="Normal 2 3 3" xfId="645"/>
    <cellStyle name="Normal 2 4" xfId="646"/>
    <cellStyle name="Normal 2 5" xfId="647"/>
    <cellStyle name="Normal 2 6" xfId="648"/>
    <cellStyle name="Normal 2 7" xfId="649"/>
    <cellStyle name="Normal 2 8" xfId="650"/>
    <cellStyle name="Normal 2 9" xfId="651"/>
    <cellStyle name="Normal 2_Sheet1" xfId="1359"/>
    <cellStyle name="Normal 20" xfId="652"/>
    <cellStyle name="Normal 20 2" xfId="653"/>
    <cellStyle name="Normal 20 2 2" xfId="1106"/>
    <cellStyle name="Normal 20 3" xfId="922"/>
    <cellStyle name="Normal 20 3 2" xfId="3200"/>
    <cellStyle name="Normal 20 3 2 2" xfId="7626"/>
    <cellStyle name="Normal 20 3 3" xfId="2131"/>
    <cellStyle name="Normal 20 3 4" xfId="6764"/>
    <cellStyle name="Normal 20 4" xfId="991"/>
    <cellStyle name="Normal 20 5" xfId="963"/>
    <cellStyle name="Normal 20 6" xfId="1132"/>
    <cellStyle name="Normal 20 7" xfId="1360"/>
    <cellStyle name="Normal 200" xfId="1971"/>
    <cellStyle name="Normal 201" xfId="1972"/>
    <cellStyle name="Normal 202" xfId="1973"/>
    <cellStyle name="Normal 203" xfId="1974"/>
    <cellStyle name="Normal 204" xfId="1975"/>
    <cellStyle name="Normal 205" xfId="1976"/>
    <cellStyle name="Normal 206" xfId="1977"/>
    <cellStyle name="Normal 207" xfId="1978"/>
    <cellStyle name="Normal 208" xfId="1979"/>
    <cellStyle name="Normal 209" xfId="1980"/>
    <cellStyle name="Normal 209 2" xfId="3145"/>
    <cellStyle name="Normal 21" xfId="654"/>
    <cellStyle name="Normal 21 2" xfId="655"/>
    <cellStyle name="Normal 21 3" xfId="993"/>
    <cellStyle name="Normal 21 3 2" xfId="3201"/>
    <cellStyle name="Normal 21 3 2 2" xfId="7627"/>
    <cellStyle name="Normal 21 3 3" xfId="2132"/>
    <cellStyle name="Normal 21 3 4" xfId="6765"/>
    <cellStyle name="Normal 21 4" xfId="1133"/>
    <cellStyle name="Normal 21 5" xfId="1361"/>
    <cellStyle name="Normal 210" xfId="1928"/>
    <cellStyle name="Normal 210 2" xfId="3139"/>
    <cellStyle name="Normal 211" xfId="2315"/>
    <cellStyle name="Normal 212" xfId="2074"/>
    <cellStyle name="Normal 213" xfId="2316"/>
    <cellStyle name="Normal 214" xfId="2317"/>
    <cellStyle name="Normal 215" xfId="2318"/>
    <cellStyle name="Normal 216" xfId="2406"/>
    <cellStyle name="Normal 217" xfId="2407"/>
    <cellStyle name="Normal 217 2" xfId="3345"/>
    <cellStyle name="Normal 217 2 2" xfId="7767"/>
    <cellStyle name="Normal 217 3" xfId="6901"/>
    <cellStyle name="Normal 218" xfId="2408"/>
    <cellStyle name="Normal 219" xfId="2496"/>
    <cellStyle name="Normal 22" xfId="656"/>
    <cellStyle name="Normal 22 2" xfId="657"/>
    <cellStyle name="Normal 22 3" xfId="994"/>
    <cellStyle name="Normal 22 3 2" xfId="3202"/>
    <cellStyle name="Normal 22 3 2 2" xfId="7628"/>
    <cellStyle name="Normal 22 3 3" xfId="2133"/>
    <cellStyle name="Normal 22 3 4" xfId="6766"/>
    <cellStyle name="Normal 22 4" xfId="1134"/>
    <cellStyle name="Normal 22 5" xfId="1362"/>
    <cellStyle name="Normal 220" xfId="2497"/>
    <cellStyle name="Normal 221" xfId="2498"/>
    <cellStyle name="Normal 222" xfId="2499"/>
    <cellStyle name="Normal 223" xfId="2500"/>
    <cellStyle name="Normal 224" xfId="2501"/>
    <cellStyle name="Normal 225" xfId="2502"/>
    <cellStyle name="Normal 226" xfId="2503"/>
    <cellStyle name="Normal 227" xfId="2504"/>
    <cellStyle name="Normal 228" xfId="2505"/>
    <cellStyle name="Normal 229" xfId="2506"/>
    <cellStyle name="Normal 23" xfId="658"/>
    <cellStyle name="Normal 23 2" xfId="659"/>
    <cellStyle name="Normal 23 2 2" xfId="2135"/>
    <cellStyle name="Normal 23 3" xfId="995"/>
    <cellStyle name="Normal 23 3 2" xfId="3203"/>
    <cellStyle name="Normal 23 3 2 2" xfId="7629"/>
    <cellStyle name="Normal 23 3 3" xfId="2134"/>
    <cellStyle name="Normal 23 3 4" xfId="6767"/>
    <cellStyle name="Normal 23 4" xfId="1363"/>
    <cellStyle name="Normal 230" xfId="2507"/>
    <cellStyle name="Normal 231" xfId="2508"/>
    <cellStyle name="Normal 232" xfId="2509"/>
    <cellStyle name="Normal 233" xfId="2597"/>
    <cellStyle name="Normal 234" xfId="2598"/>
    <cellStyle name="Normal 235" xfId="2599"/>
    <cellStyle name="Normal 236" xfId="2600"/>
    <cellStyle name="Normal 237" xfId="2601"/>
    <cellStyle name="Normal 238" xfId="2602"/>
    <cellStyle name="Normal 239" xfId="2604"/>
    <cellStyle name="Normal 24" xfId="660"/>
    <cellStyle name="Normal 24 2" xfId="661"/>
    <cellStyle name="Normal 24 2 2" xfId="1107"/>
    <cellStyle name="Normal 24 2 3" xfId="2137"/>
    <cellStyle name="Normal 24 3" xfId="662"/>
    <cellStyle name="Normal 24 4" xfId="996"/>
    <cellStyle name="Normal 24 4 2" xfId="3204"/>
    <cellStyle name="Normal 24 4 2 2" xfId="7630"/>
    <cellStyle name="Normal 24 4 3" xfId="2136"/>
    <cellStyle name="Normal 24 4 4" xfId="6768"/>
    <cellStyle name="Normal 240" xfId="2605"/>
    <cellStyle name="Normal 241" xfId="2606"/>
    <cellStyle name="Normal 242" xfId="2607"/>
    <cellStyle name="Normal 243" xfId="2608"/>
    <cellStyle name="Normal 244" xfId="2609"/>
    <cellStyle name="Normal 245" xfId="2610"/>
    <cellStyle name="Normal 246" xfId="2611"/>
    <cellStyle name="Normal 247" xfId="2612"/>
    <cellStyle name="Normal 248" xfId="2613"/>
    <cellStyle name="Normal 249" xfId="2614"/>
    <cellStyle name="Normal 25" xfId="663"/>
    <cellStyle name="Normal 25 2" xfId="664"/>
    <cellStyle name="Normal 25 2 2" xfId="2139"/>
    <cellStyle name="Normal 25 3" xfId="992"/>
    <cellStyle name="Normal 25 3 2" xfId="3205"/>
    <cellStyle name="Normal 25 3 2 2" xfId="7631"/>
    <cellStyle name="Normal 25 3 3" xfId="2138"/>
    <cellStyle name="Normal 25 3 4" xfId="6769"/>
    <cellStyle name="Normal 25 4" xfId="1364"/>
    <cellStyle name="Normal 250" xfId="2615"/>
    <cellStyle name="Normal 250 2" xfId="5641"/>
    <cellStyle name="Normal 251" xfId="2616"/>
    <cellStyle name="Normal 251 2" xfId="5642"/>
    <cellStyle name="Normal 252" xfId="2617"/>
    <cellStyle name="Normal 252 2" xfId="5643"/>
    <cellStyle name="Normal 253" xfId="2618"/>
    <cellStyle name="Normal 253 2" xfId="5644"/>
    <cellStyle name="Normal 254" xfId="2619"/>
    <cellStyle name="Normal 254 2" xfId="5645"/>
    <cellStyle name="Normal 255" xfId="2620"/>
    <cellStyle name="Normal 255 2" xfId="5646"/>
    <cellStyle name="Normal 256" xfId="2621"/>
    <cellStyle name="Normal 256 2" xfId="5647"/>
    <cellStyle name="Normal 257" xfId="2622"/>
    <cellStyle name="Normal 258" xfId="2623"/>
    <cellStyle name="Normal 259" xfId="2624"/>
    <cellStyle name="Normal 26" xfId="665"/>
    <cellStyle name="Normal 26 2" xfId="666"/>
    <cellStyle name="Normal 26 2 2" xfId="2141"/>
    <cellStyle name="Normal 26 3" xfId="1071"/>
    <cellStyle name="Normal 26 3 2" xfId="3206"/>
    <cellStyle name="Normal 26 3 2 2" xfId="7632"/>
    <cellStyle name="Normal 26 3 3" xfId="2140"/>
    <cellStyle name="Normal 26 3 4" xfId="6770"/>
    <cellStyle name="Normal 26 4" xfId="1365"/>
    <cellStyle name="Normal 260" xfId="2625"/>
    <cellStyle name="Normal 261" xfId="2640"/>
    <cellStyle name="Normal 262" xfId="3214"/>
    <cellStyle name="Normal 263" xfId="3560"/>
    <cellStyle name="Normal 264" xfId="2627"/>
    <cellStyle name="Normal 265" xfId="3593"/>
    <cellStyle name="Normal 266" xfId="2626"/>
    <cellStyle name="Normal 267" xfId="3598"/>
    <cellStyle name="Normal 267 2" xfId="8010"/>
    <cellStyle name="Normal 268" xfId="3599"/>
    <cellStyle name="Normal 269" xfId="3600"/>
    <cellStyle name="Normal 27" xfId="667"/>
    <cellStyle name="Normal 27 2" xfId="668"/>
    <cellStyle name="Normal 27 2 2" xfId="2143"/>
    <cellStyle name="Normal 27 3" xfId="669"/>
    <cellStyle name="Normal 27 4" xfId="2142"/>
    <cellStyle name="Normal 27 4 2" xfId="3207"/>
    <cellStyle name="Normal 27 4 2 2" xfId="7633"/>
    <cellStyle name="Normal 27 4 3" xfId="6771"/>
    <cellStyle name="Normal 270" xfId="3601"/>
    <cellStyle name="Normal 271" xfId="3602"/>
    <cellStyle name="Normal 272" xfId="3695"/>
    <cellStyle name="Normal 273" xfId="3696"/>
    <cellStyle name="Normal 274" xfId="3697"/>
    <cellStyle name="Normal 275" xfId="3698"/>
    <cellStyle name="Normal 276" xfId="3699"/>
    <cellStyle name="Normal 276 2" xfId="8098"/>
    <cellStyle name="Normal 277" xfId="3700"/>
    <cellStyle name="Normal 278" xfId="3796"/>
    <cellStyle name="Normal 279" xfId="3797"/>
    <cellStyle name="Normal 28" xfId="670"/>
    <cellStyle name="Normal 28 2" xfId="1094"/>
    <cellStyle name="Normal 28 2 2" xfId="2144"/>
    <cellStyle name="Normal 28 3" xfId="1366"/>
    <cellStyle name="Normal 280" xfId="3798"/>
    <cellStyle name="Normal 281" xfId="3799"/>
    <cellStyle name="Normal 281 2" xfId="8191"/>
    <cellStyle name="Normal 282" xfId="3800"/>
    <cellStyle name="Normal 283" xfId="3895"/>
    <cellStyle name="Normal 284" xfId="3899"/>
    <cellStyle name="Normal 285" xfId="3900"/>
    <cellStyle name="Normal 286" xfId="3898"/>
    <cellStyle name="Normal 287" xfId="3901"/>
    <cellStyle name="Normal 287 2" xfId="8284"/>
    <cellStyle name="Normal 288" xfId="3897"/>
    <cellStyle name="Normal 289" xfId="3802"/>
    <cellStyle name="Normal 29" xfId="671"/>
    <cellStyle name="Normal 29 2" xfId="1112"/>
    <cellStyle name="Normal 29 2 2" xfId="2145"/>
    <cellStyle name="Normal 29 3" xfId="1367"/>
    <cellStyle name="Normal 290" xfId="3801"/>
    <cellStyle name="Normal 291" xfId="3896"/>
    <cellStyle name="Normal 292" xfId="3902"/>
    <cellStyle name="Normal 293" xfId="3990"/>
    <cellStyle name="Normal 294" xfId="3991"/>
    <cellStyle name="Normal 295" xfId="3992"/>
    <cellStyle name="Normal 296" xfId="3993"/>
    <cellStyle name="Normal 297" xfId="3994"/>
    <cellStyle name="Normal 297 2" xfId="8372"/>
    <cellStyle name="Normal 298" xfId="3995"/>
    <cellStyle name="Normal 298 2" xfId="8373"/>
    <cellStyle name="Normal 299" xfId="4083"/>
    <cellStyle name="Normal 3" xfId="672"/>
    <cellStyle name="Normal 3 2" xfId="673"/>
    <cellStyle name="Normal 3 2 2" xfId="674"/>
    <cellStyle name="Normal 3 2 2 2" xfId="675"/>
    <cellStyle name="Normal 3 2 2 3" xfId="2148"/>
    <cellStyle name="Normal 3 2 2 3 2" xfId="3208"/>
    <cellStyle name="Normal 3 2 2 3 2 2" xfId="7634"/>
    <cellStyle name="Normal 3 2 2 3 3" xfId="6772"/>
    <cellStyle name="Normal 3 2 3" xfId="1177"/>
    <cellStyle name="Normal 3 2 3 2" xfId="2147"/>
    <cellStyle name="Normal 3 2 4" xfId="2655"/>
    <cellStyle name="Normal 3 2 4 2" xfId="7100"/>
    <cellStyle name="Normal 3 2 5" xfId="1239"/>
    <cellStyle name="Normal 3 2 6" xfId="6256"/>
    <cellStyle name="Normal 3 3" xfId="676"/>
    <cellStyle name="Normal 3 3 2" xfId="677"/>
    <cellStyle name="Normal 3 3 3" xfId="2149"/>
    <cellStyle name="Normal 3 3 4" xfId="1368"/>
    <cellStyle name="Normal 3 4" xfId="678"/>
    <cellStyle name="Normal 3 4 2" xfId="2150"/>
    <cellStyle name="Normal 3 4 3" xfId="1924"/>
    <cellStyle name="Normal 3 5" xfId="679"/>
    <cellStyle name="Normal 3 6" xfId="3804"/>
    <cellStyle name="Normal 3 6 2" xfId="8193"/>
    <cellStyle name="Normal 3 7" xfId="4190"/>
    <cellStyle name="Normal 3 7 2" xfId="8551"/>
    <cellStyle name="Normal 30" xfId="680"/>
    <cellStyle name="Normal 30 2" xfId="1113"/>
    <cellStyle name="Normal 30 2 2" xfId="2151"/>
    <cellStyle name="Normal 30 3" xfId="1369"/>
    <cellStyle name="Normal 300" xfId="4085"/>
    <cellStyle name="Normal 301" xfId="4086"/>
    <cellStyle name="Normal 302" xfId="4087"/>
    <cellStyle name="Normal 303" xfId="4088"/>
    <cellStyle name="Normal 304" xfId="4089"/>
    <cellStyle name="Normal 305" xfId="4084"/>
    <cellStyle name="Normal 306" xfId="4090"/>
    <cellStyle name="Normal 307" xfId="4179"/>
    <cellStyle name="Normal 308" xfId="4180"/>
    <cellStyle name="Normal 309" xfId="4181"/>
    <cellStyle name="Normal 31" xfId="681"/>
    <cellStyle name="Normal 31 2" xfId="1114"/>
    <cellStyle name="Normal 31 2 2" xfId="2152"/>
    <cellStyle name="Normal 310" xfId="4182"/>
    <cellStyle name="Normal 311" xfId="4178"/>
    <cellStyle name="Normal 312" xfId="4183"/>
    <cellStyle name="Normal 312 2" xfId="8549"/>
    <cellStyle name="Normal 313" xfId="4184"/>
    <cellStyle name="Normal 314" xfId="4185"/>
    <cellStyle name="Normal 315" xfId="4186"/>
    <cellStyle name="Normal 316" xfId="4188"/>
    <cellStyle name="Normal 317" xfId="4187"/>
    <cellStyle name="Normal 318" xfId="4281"/>
    <cellStyle name="Normal 319" xfId="4282"/>
    <cellStyle name="Normal 32" xfId="682"/>
    <cellStyle name="Normal 32 2" xfId="2153"/>
    <cellStyle name="Normal 32 3" xfId="1370"/>
    <cellStyle name="Normal 320" xfId="4283"/>
    <cellStyle name="Normal 321" xfId="4284"/>
    <cellStyle name="Normal 322" xfId="4285"/>
    <cellStyle name="Normal 323" xfId="4286"/>
    <cellStyle name="Normal 323 2" xfId="8642"/>
    <cellStyle name="Normal 324" xfId="4287"/>
    <cellStyle name="Normal 324 2" xfId="8643"/>
    <cellStyle name="Normal 325" xfId="4375"/>
    <cellStyle name="Normal 326" xfId="4376"/>
    <cellStyle name="Normal 327" xfId="4377"/>
    <cellStyle name="Normal 328" xfId="4378"/>
    <cellStyle name="Normal 329" xfId="4379"/>
    <cellStyle name="Normal 33" xfId="683"/>
    <cellStyle name="Normal 33 10" xfId="2695"/>
    <cellStyle name="Normal 33 10 2" xfId="7136"/>
    <cellStyle name="Normal 33 11" xfId="3627"/>
    <cellStyle name="Normal 33 11 2" xfId="8030"/>
    <cellStyle name="Normal 33 12" xfId="3725"/>
    <cellStyle name="Normal 33 12 2" xfId="8120"/>
    <cellStyle name="Normal 33 13" xfId="3827"/>
    <cellStyle name="Normal 33 13 2" xfId="8216"/>
    <cellStyle name="Normal 33 14" xfId="3922"/>
    <cellStyle name="Normal 33 14 2" xfId="8304"/>
    <cellStyle name="Normal 33 15" xfId="4015"/>
    <cellStyle name="Normal 33 15 2" xfId="8393"/>
    <cellStyle name="Normal 33 16" xfId="4110"/>
    <cellStyle name="Normal 33 16 2" xfId="8480"/>
    <cellStyle name="Normal 33 17" xfId="4213"/>
    <cellStyle name="Normal 33 17 2" xfId="8574"/>
    <cellStyle name="Normal 33 18" xfId="4307"/>
    <cellStyle name="Normal 33 18 2" xfId="8663"/>
    <cellStyle name="Normal 33 19" xfId="4399"/>
    <cellStyle name="Normal 33 19 2" xfId="8750"/>
    <cellStyle name="Normal 33 2" xfId="1478"/>
    <cellStyle name="Normal 33 2 2" xfId="2787"/>
    <cellStyle name="Normal 33 2 2 2" xfId="7228"/>
    <cellStyle name="Normal 33 2 3" xfId="6376"/>
    <cellStyle name="Normal 33 20" xfId="4491"/>
    <cellStyle name="Normal 33 20 2" xfId="8838"/>
    <cellStyle name="Normal 33 21" xfId="4587"/>
    <cellStyle name="Normal 33 21 2" xfId="8927"/>
    <cellStyle name="Normal 33 22" xfId="4681"/>
    <cellStyle name="Normal 33 22 2" xfId="9015"/>
    <cellStyle name="Normal 33 23" xfId="4775"/>
    <cellStyle name="Normal 33 23 2" xfId="9104"/>
    <cellStyle name="Normal 33 24" xfId="4869"/>
    <cellStyle name="Normal 33 24 2" xfId="9192"/>
    <cellStyle name="Normal 33 25" xfId="4961"/>
    <cellStyle name="Normal 33 25 2" xfId="9281"/>
    <cellStyle name="Normal 33 26" xfId="5055"/>
    <cellStyle name="Normal 33 26 2" xfId="9369"/>
    <cellStyle name="Normal 33 27" xfId="5151"/>
    <cellStyle name="Normal 33 27 2" xfId="9456"/>
    <cellStyle name="Normal 33 28" xfId="5250"/>
    <cellStyle name="Normal 33 28 2" xfId="9549"/>
    <cellStyle name="Normal 33 29" xfId="5353"/>
    <cellStyle name="Normal 33 29 2" xfId="9640"/>
    <cellStyle name="Normal 33 3" xfId="1582"/>
    <cellStyle name="Normal 33 3 2" xfId="2877"/>
    <cellStyle name="Normal 33 3 2 2" xfId="7318"/>
    <cellStyle name="Normal 33 3 3" xfId="6466"/>
    <cellStyle name="Normal 33 30" xfId="5876"/>
    <cellStyle name="Normal 33 30 2" xfId="10066"/>
    <cellStyle name="Normal 33 31" xfId="5967"/>
    <cellStyle name="Normal 33 31 2" xfId="10153"/>
    <cellStyle name="Normal 33 32" xfId="6064"/>
    <cellStyle name="Normal 33 32 2" xfId="10242"/>
    <cellStyle name="Normal 33 33" xfId="6156"/>
    <cellStyle name="Normal 33 33 2" xfId="10330"/>
    <cellStyle name="Normal 33 34" xfId="1371"/>
    <cellStyle name="Normal 33 35" xfId="6285"/>
    <cellStyle name="Normal 33 4" xfId="1692"/>
    <cellStyle name="Normal 33 4 2" xfId="2967"/>
    <cellStyle name="Normal 33 4 2 2" xfId="7406"/>
    <cellStyle name="Normal 33 4 3" xfId="6555"/>
    <cellStyle name="Normal 33 5" xfId="1836"/>
    <cellStyle name="Normal 33 5 2" xfId="3062"/>
    <cellStyle name="Normal 33 5 2 2" xfId="7500"/>
    <cellStyle name="Normal 33 5 3" xfId="6647"/>
    <cellStyle name="Normal 33 6" xfId="2154"/>
    <cellStyle name="Normal 33 7" xfId="2338"/>
    <cellStyle name="Normal 33 7 2" xfId="3276"/>
    <cellStyle name="Normal 33 7 2 2" xfId="7698"/>
    <cellStyle name="Normal 33 7 3" xfId="6833"/>
    <cellStyle name="Normal 33 8" xfId="2428"/>
    <cellStyle name="Normal 33 8 2" xfId="3365"/>
    <cellStyle name="Normal 33 8 2 2" xfId="7787"/>
    <cellStyle name="Normal 33 8 3" xfId="6921"/>
    <cellStyle name="Normal 33 9" xfId="2529"/>
    <cellStyle name="Normal 33 9 2" xfId="3455"/>
    <cellStyle name="Normal 33 9 2 2" xfId="7877"/>
    <cellStyle name="Normal 33 9 3" xfId="7008"/>
    <cellStyle name="Normal 330" xfId="4467"/>
    <cellStyle name="Normal 331" xfId="4468"/>
    <cellStyle name="Normal 332" xfId="4469"/>
    <cellStyle name="Normal 333" xfId="4470"/>
    <cellStyle name="Normal 333 2" xfId="8818"/>
    <cellStyle name="Normal 334" xfId="4471"/>
    <cellStyle name="Normal 335" xfId="4559"/>
    <cellStyle name="Normal 336" xfId="4564"/>
    <cellStyle name="Normal 337" xfId="4565"/>
    <cellStyle name="Normal 338" xfId="4563"/>
    <cellStyle name="Normal 339" xfId="4566"/>
    <cellStyle name="Normal 339 2" xfId="8907"/>
    <cellStyle name="Normal 34" xfId="684"/>
    <cellStyle name="Normal 34 10" xfId="2696"/>
    <cellStyle name="Normal 34 10 2" xfId="7137"/>
    <cellStyle name="Normal 34 11" xfId="3628"/>
    <cellStyle name="Normal 34 11 2" xfId="8031"/>
    <cellStyle name="Normal 34 12" xfId="3726"/>
    <cellStyle name="Normal 34 12 2" xfId="8121"/>
    <cellStyle name="Normal 34 13" xfId="3828"/>
    <cellStyle name="Normal 34 13 2" xfId="8217"/>
    <cellStyle name="Normal 34 14" xfId="3923"/>
    <cellStyle name="Normal 34 14 2" xfId="8305"/>
    <cellStyle name="Normal 34 15" xfId="4016"/>
    <cellStyle name="Normal 34 15 2" xfId="8394"/>
    <cellStyle name="Normal 34 16" xfId="4111"/>
    <cellStyle name="Normal 34 16 2" xfId="8481"/>
    <cellStyle name="Normal 34 17" xfId="4214"/>
    <cellStyle name="Normal 34 17 2" xfId="8575"/>
    <cellStyle name="Normal 34 18" xfId="4308"/>
    <cellStyle name="Normal 34 18 2" xfId="8664"/>
    <cellStyle name="Normal 34 19" xfId="4400"/>
    <cellStyle name="Normal 34 19 2" xfId="8751"/>
    <cellStyle name="Normal 34 2" xfId="1479"/>
    <cellStyle name="Normal 34 2 2" xfId="2788"/>
    <cellStyle name="Normal 34 2 2 2" xfId="7229"/>
    <cellStyle name="Normal 34 2 3" xfId="6377"/>
    <cellStyle name="Normal 34 20" xfId="4492"/>
    <cellStyle name="Normal 34 20 2" xfId="8839"/>
    <cellStyle name="Normal 34 21" xfId="4588"/>
    <cellStyle name="Normal 34 21 2" xfId="8928"/>
    <cellStyle name="Normal 34 22" xfId="4682"/>
    <cellStyle name="Normal 34 22 2" xfId="9016"/>
    <cellStyle name="Normal 34 23" xfId="4776"/>
    <cellStyle name="Normal 34 23 2" xfId="9105"/>
    <cellStyle name="Normal 34 24" xfId="4870"/>
    <cellStyle name="Normal 34 24 2" xfId="9193"/>
    <cellStyle name="Normal 34 25" xfId="4962"/>
    <cellStyle name="Normal 34 25 2" xfId="9282"/>
    <cellStyle name="Normal 34 26" xfId="5056"/>
    <cellStyle name="Normal 34 26 2" xfId="9370"/>
    <cellStyle name="Normal 34 27" xfId="5152"/>
    <cellStyle name="Normal 34 27 2" xfId="9457"/>
    <cellStyle name="Normal 34 28" xfId="5251"/>
    <cellStyle name="Normal 34 28 2" xfId="9550"/>
    <cellStyle name="Normal 34 29" xfId="5354"/>
    <cellStyle name="Normal 34 29 2" xfId="9641"/>
    <cellStyle name="Normal 34 3" xfId="1583"/>
    <cellStyle name="Normal 34 3 2" xfId="2878"/>
    <cellStyle name="Normal 34 3 2 2" xfId="7319"/>
    <cellStyle name="Normal 34 3 3" xfId="6467"/>
    <cellStyle name="Normal 34 30" xfId="5877"/>
    <cellStyle name="Normal 34 30 2" xfId="10067"/>
    <cellStyle name="Normal 34 31" xfId="5968"/>
    <cellStyle name="Normal 34 31 2" xfId="10154"/>
    <cellStyle name="Normal 34 32" xfId="6065"/>
    <cellStyle name="Normal 34 32 2" xfId="10243"/>
    <cellStyle name="Normal 34 33" xfId="6157"/>
    <cellStyle name="Normal 34 33 2" xfId="10331"/>
    <cellStyle name="Normal 34 34" xfId="1372"/>
    <cellStyle name="Normal 34 35" xfId="6286"/>
    <cellStyle name="Normal 34 4" xfId="1693"/>
    <cellStyle name="Normal 34 4 2" xfId="2968"/>
    <cellStyle name="Normal 34 4 2 2" xfId="7407"/>
    <cellStyle name="Normal 34 4 3" xfId="6556"/>
    <cellStyle name="Normal 34 5" xfId="1837"/>
    <cellStyle name="Normal 34 5 2" xfId="3063"/>
    <cellStyle name="Normal 34 5 2 2" xfId="7501"/>
    <cellStyle name="Normal 34 5 3" xfId="6648"/>
    <cellStyle name="Normal 34 6" xfId="2155"/>
    <cellStyle name="Normal 34 7" xfId="2339"/>
    <cellStyle name="Normal 34 7 2" xfId="3277"/>
    <cellStyle name="Normal 34 7 2 2" xfId="7699"/>
    <cellStyle name="Normal 34 7 3" xfId="6834"/>
    <cellStyle name="Normal 34 8" xfId="2429"/>
    <cellStyle name="Normal 34 8 2" xfId="3366"/>
    <cellStyle name="Normal 34 8 2 2" xfId="7788"/>
    <cellStyle name="Normal 34 8 3" xfId="6922"/>
    <cellStyle name="Normal 34 9" xfId="2530"/>
    <cellStyle name="Normal 34 9 2" xfId="3456"/>
    <cellStyle name="Normal 34 9 2 2" xfId="7878"/>
    <cellStyle name="Normal 34 9 3" xfId="7009"/>
    <cellStyle name="Normal 340" xfId="4562"/>
    <cellStyle name="Normal 341" xfId="4561"/>
    <cellStyle name="Normal 342" xfId="4560"/>
    <cellStyle name="Normal 343" xfId="4567"/>
    <cellStyle name="Normal 344" xfId="4655"/>
    <cellStyle name="Normal 344 2" xfId="8995"/>
    <cellStyle name="Normal 345" xfId="4657"/>
    <cellStyle name="Normal 346" xfId="4658"/>
    <cellStyle name="Normal 347" xfId="4659"/>
    <cellStyle name="Normal 348" xfId="4660"/>
    <cellStyle name="Normal 349" xfId="4656"/>
    <cellStyle name="Normal 35" xfId="685"/>
    <cellStyle name="Normal 35 10" xfId="2697"/>
    <cellStyle name="Normal 35 10 2" xfId="7138"/>
    <cellStyle name="Normal 35 11" xfId="3629"/>
    <cellStyle name="Normal 35 11 2" xfId="8032"/>
    <cellStyle name="Normal 35 12" xfId="3727"/>
    <cellStyle name="Normal 35 12 2" xfId="8122"/>
    <cellStyle name="Normal 35 13" xfId="3829"/>
    <cellStyle name="Normal 35 13 2" xfId="8218"/>
    <cellStyle name="Normal 35 14" xfId="3924"/>
    <cellStyle name="Normal 35 14 2" xfId="8306"/>
    <cellStyle name="Normal 35 15" xfId="4017"/>
    <cellStyle name="Normal 35 15 2" xfId="8395"/>
    <cellStyle name="Normal 35 16" xfId="4112"/>
    <cellStyle name="Normal 35 16 2" xfId="8482"/>
    <cellStyle name="Normal 35 17" xfId="4215"/>
    <cellStyle name="Normal 35 17 2" xfId="8576"/>
    <cellStyle name="Normal 35 18" xfId="4309"/>
    <cellStyle name="Normal 35 18 2" xfId="8665"/>
    <cellStyle name="Normal 35 19" xfId="4401"/>
    <cellStyle name="Normal 35 19 2" xfId="8752"/>
    <cellStyle name="Normal 35 2" xfId="1480"/>
    <cellStyle name="Normal 35 2 2" xfId="2789"/>
    <cellStyle name="Normal 35 2 2 2" xfId="7230"/>
    <cellStyle name="Normal 35 2 3" xfId="6378"/>
    <cellStyle name="Normal 35 20" xfId="4493"/>
    <cellStyle name="Normal 35 20 2" xfId="8840"/>
    <cellStyle name="Normal 35 21" xfId="4589"/>
    <cellStyle name="Normal 35 21 2" xfId="8929"/>
    <cellStyle name="Normal 35 22" xfId="4683"/>
    <cellStyle name="Normal 35 22 2" xfId="9017"/>
    <cellStyle name="Normal 35 23" xfId="4777"/>
    <cellStyle name="Normal 35 23 2" xfId="9106"/>
    <cellStyle name="Normal 35 24" xfId="4871"/>
    <cellStyle name="Normal 35 24 2" xfId="9194"/>
    <cellStyle name="Normal 35 25" xfId="4963"/>
    <cellStyle name="Normal 35 25 2" xfId="9283"/>
    <cellStyle name="Normal 35 26" xfId="5057"/>
    <cellStyle name="Normal 35 26 2" xfId="9371"/>
    <cellStyle name="Normal 35 27" xfId="5153"/>
    <cellStyle name="Normal 35 27 2" xfId="9458"/>
    <cellStyle name="Normal 35 28" xfId="5252"/>
    <cellStyle name="Normal 35 28 2" xfId="9551"/>
    <cellStyle name="Normal 35 29" xfId="5355"/>
    <cellStyle name="Normal 35 29 2" xfId="9642"/>
    <cellStyle name="Normal 35 3" xfId="1584"/>
    <cellStyle name="Normal 35 3 2" xfId="2879"/>
    <cellStyle name="Normal 35 3 2 2" xfId="7320"/>
    <cellStyle name="Normal 35 3 3" xfId="6468"/>
    <cellStyle name="Normal 35 30" xfId="5878"/>
    <cellStyle name="Normal 35 30 2" xfId="10068"/>
    <cellStyle name="Normal 35 31" xfId="5969"/>
    <cellStyle name="Normal 35 31 2" xfId="10155"/>
    <cellStyle name="Normal 35 32" xfId="6066"/>
    <cellStyle name="Normal 35 32 2" xfId="10244"/>
    <cellStyle name="Normal 35 33" xfId="6158"/>
    <cellStyle name="Normal 35 33 2" xfId="10332"/>
    <cellStyle name="Normal 35 34" xfId="1373"/>
    <cellStyle name="Normal 35 35" xfId="6287"/>
    <cellStyle name="Normal 35 4" xfId="1694"/>
    <cellStyle name="Normal 35 4 2" xfId="2969"/>
    <cellStyle name="Normal 35 4 2 2" xfId="7408"/>
    <cellStyle name="Normal 35 4 3" xfId="6557"/>
    <cellStyle name="Normal 35 5" xfId="1838"/>
    <cellStyle name="Normal 35 5 2" xfId="3064"/>
    <cellStyle name="Normal 35 5 2 2" xfId="7502"/>
    <cellStyle name="Normal 35 5 3" xfId="6649"/>
    <cellStyle name="Normal 35 6" xfId="2156"/>
    <cellStyle name="Normal 35 7" xfId="2340"/>
    <cellStyle name="Normal 35 7 2" xfId="3278"/>
    <cellStyle name="Normal 35 7 2 2" xfId="7700"/>
    <cellStyle name="Normal 35 7 3" xfId="6835"/>
    <cellStyle name="Normal 35 8" xfId="2430"/>
    <cellStyle name="Normal 35 8 2" xfId="3367"/>
    <cellStyle name="Normal 35 8 2 2" xfId="7789"/>
    <cellStyle name="Normal 35 8 3" xfId="6923"/>
    <cellStyle name="Normal 35 9" xfId="2531"/>
    <cellStyle name="Normal 35 9 2" xfId="3457"/>
    <cellStyle name="Normal 35 9 2 2" xfId="7879"/>
    <cellStyle name="Normal 35 9 3" xfId="7010"/>
    <cellStyle name="Normal 350" xfId="4661"/>
    <cellStyle name="Normal 351" xfId="4749"/>
    <cellStyle name="Normal 352" xfId="4750"/>
    <cellStyle name="Normal 353" xfId="4751"/>
    <cellStyle name="Normal 354" xfId="4752"/>
    <cellStyle name="Normal 355" xfId="4753"/>
    <cellStyle name="Normal 355 2" xfId="9083"/>
    <cellStyle name="Normal 356" xfId="4754"/>
    <cellStyle name="Normal 357" xfId="4843"/>
    <cellStyle name="Normal 358" xfId="4844"/>
    <cellStyle name="Normal 359" xfId="4845"/>
    <cellStyle name="Normal 36" xfId="686"/>
    <cellStyle name="Normal 36 10" xfId="2698"/>
    <cellStyle name="Normal 36 10 2" xfId="7139"/>
    <cellStyle name="Normal 36 11" xfId="3630"/>
    <cellStyle name="Normal 36 11 2" xfId="8033"/>
    <cellStyle name="Normal 36 12" xfId="3728"/>
    <cellStyle name="Normal 36 12 2" xfId="8123"/>
    <cellStyle name="Normal 36 13" xfId="3830"/>
    <cellStyle name="Normal 36 13 2" xfId="8219"/>
    <cellStyle name="Normal 36 14" xfId="3925"/>
    <cellStyle name="Normal 36 14 2" xfId="8307"/>
    <cellStyle name="Normal 36 15" xfId="4018"/>
    <cellStyle name="Normal 36 15 2" xfId="8396"/>
    <cellStyle name="Normal 36 16" xfId="4113"/>
    <cellStyle name="Normal 36 16 2" xfId="8483"/>
    <cellStyle name="Normal 36 17" xfId="4216"/>
    <cellStyle name="Normal 36 17 2" xfId="8577"/>
    <cellStyle name="Normal 36 18" xfId="4310"/>
    <cellStyle name="Normal 36 18 2" xfId="8666"/>
    <cellStyle name="Normal 36 19" xfId="4402"/>
    <cellStyle name="Normal 36 19 2" xfId="8753"/>
    <cellStyle name="Normal 36 2" xfId="1481"/>
    <cellStyle name="Normal 36 2 2" xfId="2790"/>
    <cellStyle name="Normal 36 2 2 2" xfId="7231"/>
    <cellStyle name="Normal 36 2 3" xfId="6379"/>
    <cellStyle name="Normal 36 20" xfId="4494"/>
    <cellStyle name="Normal 36 20 2" xfId="8841"/>
    <cellStyle name="Normal 36 21" xfId="4590"/>
    <cellStyle name="Normal 36 21 2" xfId="8930"/>
    <cellStyle name="Normal 36 22" xfId="4684"/>
    <cellStyle name="Normal 36 22 2" xfId="9018"/>
    <cellStyle name="Normal 36 23" xfId="4778"/>
    <cellStyle name="Normal 36 23 2" xfId="9107"/>
    <cellStyle name="Normal 36 24" xfId="4872"/>
    <cellStyle name="Normal 36 24 2" xfId="9195"/>
    <cellStyle name="Normal 36 25" xfId="4964"/>
    <cellStyle name="Normal 36 25 2" xfId="9284"/>
    <cellStyle name="Normal 36 26" xfId="5058"/>
    <cellStyle name="Normal 36 26 2" xfId="9372"/>
    <cellStyle name="Normal 36 27" xfId="5154"/>
    <cellStyle name="Normal 36 27 2" xfId="9459"/>
    <cellStyle name="Normal 36 28" xfId="5253"/>
    <cellStyle name="Normal 36 28 2" xfId="9552"/>
    <cellStyle name="Normal 36 29" xfId="5356"/>
    <cellStyle name="Normal 36 29 2" xfId="9643"/>
    <cellStyle name="Normal 36 3" xfId="1585"/>
    <cellStyle name="Normal 36 3 2" xfId="2880"/>
    <cellStyle name="Normal 36 3 2 2" xfId="7321"/>
    <cellStyle name="Normal 36 3 3" xfId="6469"/>
    <cellStyle name="Normal 36 30" xfId="5879"/>
    <cellStyle name="Normal 36 30 2" xfId="10069"/>
    <cellStyle name="Normal 36 31" xfId="5970"/>
    <cellStyle name="Normal 36 31 2" xfId="10156"/>
    <cellStyle name="Normal 36 32" xfId="6067"/>
    <cellStyle name="Normal 36 32 2" xfId="10245"/>
    <cellStyle name="Normal 36 33" xfId="6159"/>
    <cellStyle name="Normal 36 33 2" xfId="10333"/>
    <cellStyle name="Normal 36 34" xfId="1374"/>
    <cellStyle name="Normal 36 35" xfId="6288"/>
    <cellStyle name="Normal 36 4" xfId="1695"/>
    <cellStyle name="Normal 36 4 2" xfId="2970"/>
    <cellStyle name="Normal 36 4 2 2" xfId="7409"/>
    <cellStyle name="Normal 36 4 3" xfId="6558"/>
    <cellStyle name="Normal 36 5" xfId="1839"/>
    <cellStyle name="Normal 36 5 2" xfId="3065"/>
    <cellStyle name="Normal 36 5 2 2" xfId="7503"/>
    <cellStyle name="Normal 36 5 3" xfId="6650"/>
    <cellStyle name="Normal 36 6" xfId="2157"/>
    <cellStyle name="Normal 36 7" xfId="2341"/>
    <cellStyle name="Normal 36 7 2" xfId="3279"/>
    <cellStyle name="Normal 36 7 2 2" xfId="7701"/>
    <cellStyle name="Normal 36 7 3" xfId="6836"/>
    <cellStyle name="Normal 36 8" xfId="2431"/>
    <cellStyle name="Normal 36 8 2" xfId="3368"/>
    <cellStyle name="Normal 36 8 2 2" xfId="7790"/>
    <cellStyle name="Normal 36 8 3" xfId="6924"/>
    <cellStyle name="Normal 36 9" xfId="2532"/>
    <cellStyle name="Normal 36 9 2" xfId="3458"/>
    <cellStyle name="Normal 36 9 2 2" xfId="7880"/>
    <cellStyle name="Normal 36 9 3" xfId="7011"/>
    <cellStyle name="Normal 360" xfId="4846"/>
    <cellStyle name="Normal 360 2" xfId="9172"/>
    <cellStyle name="Normal 361" xfId="4774"/>
    <cellStyle name="Normal 361 2" xfId="9103"/>
    <cellStyle name="Normal 362" xfId="4847"/>
    <cellStyle name="Normal 363" xfId="4937"/>
    <cellStyle name="Normal 364" xfId="4938"/>
    <cellStyle name="Normal 365" xfId="4939"/>
    <cellStyle name="Normal 366" xfId="4940"/>
    <cellStyle name="Normal 366 2" xfId="9260"/>
    <cellStyle name="Normal 367" xfId="4868"/>
    <cellStyle name="Normal 368" xfId="4867"/>
    <cellStyle name="Normal 369" xfId="4941"/>
    <cellStyle name="Normal 369 2" xfId="9261"/>
    <cellStyle name="Normal 37" xfId="687"/>
    <cellStyle name="Normal 37 10" xfId="2699"/>
    <cellStyle name="Normal 37 10 2" xfId="7140"/>
    <cellStyle name="Normal 37 11" xfId="3631"/>
    <cellStyle name="Normal 37 11 2" xfId="8034"/>
    <cellStyle name="Normal 37 12" xfId="3729"/>
    <cellStyle name="Normal 37 12 2" xfId="8124"/>
    <cellStyle name="Normal 37 13" xfId="3831"/>
    <cellStyle name="Normal 37 13 2" xfId="8220"/>
    <cellStyle name="Normal 37 14" xfId="3926"/>
    <cellStyle name="Normal 37 14 2" xfId="8308"/>
    <cellStyle name="Normal 37 15" xfId="4019"/>
    <cellStyle name="Normal 37 15 2" xfId="8397"/>
    <cellStyle name="Normal 37 16" xfId="4114"/>
    <cellStyle name="Normal 37 16 2" xfId="8484"/>
    <cellStyle name="Normal 37 17" xfId="4217"/>
    <cellStyle name="Normal 37 17 2" xfId="8578"/>
    <cellStyle name="Normal 37 18" xfId="4311"/>
    <cellStyle name="Normal 37 18 2" xfId="8667"/>
    <cellStyle name="Normal 37 19" xfId="4403"/>
    <cellStyle name="Normal 37 19 2" xfId="8754"/>
    <cellStyle name="Normal 37 2" xfId="1482"/>
    <cellStyle name="Normal 37 2 2" xfId="2791"/>
    <cellStyle name="Normal 37 2 2 2" xfId="7232"/>
    <cellStyle name="Normal 37 2 3" xfId="6380"/>
    <cellStyle name="Normal 37 20" xfId="4495"/>
    <cellStyle name="Normal 37 20 2" xfId="8842"/>
    <cellStyle name="Normal 37 21" xfId="4591"/>
    <cellStyle name="Normal 37 21 2" xfId="8931"/>
    <cellStyle name="Normal 37 22" xfId="4685"/>
    <cellStyle name="Normal 37 22 2" xfId="9019"/>
    <cellStyle name="Normal 37 23" xfId="4779"/>
    <cellStyle name="Normal 37 23 2" xfId="9108"/>
    <cellStyle name="Normal 37 24" xfId="4873"/>
    <cellStyle name="Normal 37 24 2" xfId="9196"/>
    <cellStyle name="Normal 37 25" xfId="4965"/>
    <cellStyle name="Normal 37 25 2" xfId="9285"/>
    <cellStyle name="Normal 37 26" xfId="5059"/>
    <cellStyle name="Normal 37 26 2" xfId="9373"/>
    <cellStyle name="Normal 37 27" xfId="5155"/>
    <cellStyle name="Normal 37 27 2" xfId="9460"/>
    <cellStyle name="Normal 37 28" xfId="5254"/>
    <cellStyle name="Normal 37 28 2" xfId="9553"/>
    <cellStyle name="Normal 37 29" xfId="5357"/>
    <cellStyle name="Normal 37 29 2" xfId="9644"/>
    <cellStyle name="Normal 37 3" xfId="1586"/>
    <cellStyle name="Normal 37 3 2" xfId="2881"/>
    <cellStyle name="Normal 37 3 2 2" xfId="7322"/>
    <cellStyle name="Normal 37 3 3" xfId="6470"/>
    <cellStyle name="Normal 37 30" xfId="5880"/>
    <cellStyle name="Normal 37 30 2" xfId="10070"/>
    <cellStyle name="Normal 37 31" xfId="5971"/>
    <cellStyle name="Normal 37 31 2" xfId="10157"/>
    <cellStyle name="Normal 37 32" xfId="6068"/>
    <cellStyle name="Normal 37 32 2" xfId="10246"/>
    <cellStyle name="Normal 37 33" xfId="6160"/>
    <cellStyle name="Normal 37 33 2" xfId="10334"/>
    <cellStyle name="Normal 37 34" xfId="1375"/>
    <cellStyle name="Normal 37 35" xfId="6289"/>
    <cellStyle name="Normal 37 4" xfId="1696"/>
    <cellStyle name="Normal 37 4 2" xfId="2971"/>
    <cellStyle name="Normal 37 4 2 2" xfId="7410"/>
    <cellStyle name="Normal 37 4 3" xfId="6559"/>
    <cellStyle name="Normal 37 5" xfId="1840"/>
    <cellStyle name="Normal 37 5 2" xfId="3066"/>
    <cellStyle name="Normal 37 5 2 2" xfId="7504"/>
    <cellStyle name="Normal 37 5 3" xfId="6651"/>
    <cellStyle name="Normal 37 6" xfId="2158"/>
    <cellStyle name="Normal 37 7" xfId="2342"/>
    <cellStyle name="Normal 37 7 2" xfId="3280"/>
    <cellStyle name="Normal 37 7 2 2" xfId="7702"/>
    <cellStyle name="Normal 37 7 3" xfId="6837"/>
    <cellStyle name="Normal 37 8" xfId="2432"/>
    <cellStyle name="Normal 37 8 2" xfId="3369"/>
    <cellStyle name="Normal 37 8 2 2" xfId="7791"/>
    <cellStyle name="Normal 37 8 3" xfId="6925"/>
    <cellStyle name="Normal 37 9" xfId="2533"/>
    <cellStyle name="Normal 37 9 2" xfId="3459"/>
    <cellStyle name="Normal 37 9 2 2" xfId="7881"/>
    <cellStyle name="Normal 37 9 3" xfId="7012"/>
    <cellStyle name="Normal 370" xfId="5029"/>
    <cellStyle name="Normal 371" xfId="5030"/>
    <cellStyle name="Normal 372" xfId="5031"/>
    <cellStyle name="Normal 373" xfId="5032"/>
    <cellStyle name="Normal 374" xfId="5033"/>
    <cellStyle name="Normal 375" xfId="5035"/>
    <cellStyle name="Normal 375 2" xfId="9349"/>
    <cellStyle name="Normal 376" xfId="5124"/>
    <cellStyle name="Normal 377" xfId="5123"/>
    <cellStyle name="Normal 378" xfId="5125"/>
    <cellStyle name="Normal 379" xfId="5126"/>
    <cellStyle name="Normal 38" xfId="688"/>
    <cellStyle name="Normal 38 10" xfId="2700"/>
    <cellStyle name="Normal 38 10 2" xfId="7141"/>
    <cellStyle name="Normal 38 11" xfId="3632"/>
    <cellStyle name="Normal 38 11 2" xfId="8035"/>
    <cellStyle name="Normal 38 12" xfId="3730"/>
    <cellStyle name="Normal 38 12 2" xfId="8125"/>
    <cellStyle name="Normal 38 13" xfId="3832"/>
    <cellStyle name="Normal 38 13 2" xfId="8221"/>
    <cellStyle name="Normal 38 14" xfId="3927"/>
    <cellStyle name="Normal 38 14 2" xfId="8309"/>
    <cellStyle name="Normal 38 15" xfId="4020"/>
    <cellStyle name="Normal 38 15 2" xfId="8398"/>
    <cellStyle name="Normal 38 16" xfId="4115"/>
    <cellStyle name="Normal 38 16 2" xfId="8485"/>
    <cellStyle name="Normal 38 17" xfId="4218"/>
    <cellStyle name="Normal 38 17 2" xfId="8579"/>
    <cellStyle name="Normal 38 18" xfId="4312"/>
    <cellStyle name="Normal 38 18 2" xfId="8668"/>
    <cellStyle name="Normal 38 19" xfId="4404"/>
    <cellStyle name="Normal 38 19 2" xfId="8755"/>
    <cellStyle name="Normal 38 2" xfId="1483"/>
    <cellStyle name="Normal 38 2 2" xfId="2792"/>
    <cellStyle name="Normal 38 2 2 2" xfId="7233"/>
    <cellStyle name="Normal 38 2 3" xfId="6381"/>
    <cellStyle name="Normal 38 20" xfId="4496"/>
    <cellStyle name="Normal 38 20 2" xfId="8843"/>
    <cellStyle name="Normal 38 21" xfId="4592"/>
    <cellStyle name="Normal 38 21 2" xfId="8932"/>
    <cellStyle name="Normal 38 22" xfId="4686"/>
    <cellStyle name="Normal 38 22 2" xfId="9020"/>
    <cellStyle name="Normal 38 23" xfId="4780"/>
    <cellStyle name="Normal 38 23 2" xfId="9109"/>
    <cellStyle name="Normal 38 24" xfId="4874"/>
    <cellStyle name="Normal 38 24 2" xfId="9197"/>
    <cellStyle name="Normal 38 25" xfId="4966"/>
    <cellStyle name="Normal 38 25 2" xfId="9286"/>
    <cellStyle name="Normal 38 26" xfId="5060"/>
    <cellStyle name="Normal 38 26 2" xfId="9374"/>
    <cellStyle name="Normal 38 27" xfId="5156"/>
    <cellStyle name="Normal 38 27 2" xfId="9461"/>
    <cellStyle name="Normal 38 28" xfId="5255"/>
    <cellStyle name="Normal 38 28 2" xfId="9554"/>
    <cellStyle name="Normal 38 29" xfId="5358"/>
    <cellStyle name="Normal 38 29 2" xfId="9645"/>
    <cellStyle name="Normal 38 3" xfId="1587"/>
    <cellStyle name="Normal 38 3 2" xfId="2882"/>
    <cellStyle name="Normal 38 3 2 2" xfId="7323"/>
    <cellStyle name="Normal 38 3 3" xfId="6471"/>
    <cellStyle name="Normal 38 30" xfId="5881"/>
    <cellStyle name="Normal 38 30 2" xfId="10071"/>
    <cellStyle name="Normal 38 31" xfId="5972"/>
    <cellStyle name="Normal 38 31 2" xfId="10158"/>
    <cellStyle name="Normal 38 32" xfId="6069"/>
    <cellStyle name="Normal 38 32 2" xfId="10247"/>
    <cellStyle name="Normal 38 33" xfId="6161"/>
    <cellStyle name="Normal 38 33 2" xfId="10335"/>
    <cellStyle name="Normal 38 34" xfId="1376"/>
    <cellStyle name="Normal 38 35" xfId="6290"/>
    <cellStyle name="Normal 38 4" xfId="1697"/>
    <cellStyle name="Normal 38 4 2" xfId="2972"/>
    <cellStyle name="Normal 38 4 2 2" xfId="7411"/>
    <cellStyle name="Normal 38 4 3" xfId="6560"/>
    <cellStyle name="Normal 38 5" xfId="1841"/>
    <cellStyle name="Normal 38 5 2" xfId="3067"/>
    <cellStyle name="Normal 38 5 2 2" xfId="7505"/>
    <cellStyle name="Normal 38 5 3" xfId="6652"/>
    <cellStyle name="Normal 38 6" xfId="2159"/>
    <cellStyle name="Normal 38 7" xfId="2343"/>
    <cellStyle name="Normal 38 7 2" xfId="3281"/>
    <cellStyle name="Normal 38 7 2 2" xfId="7703"/>
    <cellStyle name="Normal 38 7 3" xfId="6838"/>
    <cellStyle name="Normal 38 8" xfId="2433"/>
    <cellStyle name="Normal 38 8 2" xfId="3370"/>
    <cellStyle name="Normal 38 8 2 2" xfId="7792"/>
    <cellStyle name="Normal 38 8 3" xfId="6926"/>
    <cellStyle name="Normal 38 9" xfId="2534"/>
    <cellStyle name="Normal 38 9 2" xfId="3460"/>
    <cellStyle name="Normal 38 9 2 2" xfId="7882"/>
    <cellStyle name="Normal 38 9 3" xfId="7013"/>
    <cellStyle name="Normal 380" xfId="5127"/>
    <cellStyle name="Normal 381" xfId="5128"/>
    <cellStyle name="Normal 382" xfId="5129"/>
    <cellStyle name="Normal 383" xfId="5131"/>
    <cellStyle name="Normal 384" xfId="5219"/>
    <cellStyle name="Normal 385" xfId="5220"/>
    <cellStyle name="Normal 386" xfId="5221"/>
    <cellStyle name="Normal 387" xfId="5222"/>
    <cellStyle name="Normal 388" xfId="5223"/>
    <cellStyle name="Normal 388 2" xfId="9524"/>
    <cellStyle name="Normal 389" xfId="5224"/>
    <cellStyle name="Normal 39" xfId="689"/>
    <cellStyle name="Normal 39 10" xfId="2701"/>
    <cellStyle name="Normal 39 10 2" xfId="7142"/>
    <cellStyle name="Normal 39 11" xfId="3633"/>
    <cellStyle name="Normal 39 11 2" xfId="8036"/>
    <cellStyle name="Normal 39 12" xfId="3731"/>
    <cellStyle name="Normal 39 12 2" xfId="8126"/>
    <cellStyle name="Normal 39 13" xfId="3833"/>
    <cellStyle name="Normal 39 13 2" xfId="8222"/>
    <cellStyle name="Normal 39 14" xfId="3928"/>
    <cellStyle name="Normal 39 14 2" xfId="8310"/>
    <cellStyle name="Normal 39 15" xfId="4021"/>
    <cellStyle name="Normal 39 15 2" xfId="8399"/>
    <cellStyle name="Normal 39 16" xfId="4116"/>
    <cellStyle name="Normal 39 16 2" xfId="8486"/>
    <cellStyle name="Normal 39 17" xfId="4219"/>
    <cellStyle name="Normal 39 17 2" xfId="8580"/>
    <cellStyle name="Normal 39 18" xfId="4313"/>
    <cellStyle name="Normal 39 18 2" xfId="8669"/>
    <cellStyle name="Normal 39 19" xfId="4405"/>
    <cellStyle name="Normal 39 19 2" xfId="8756"/>
    <cellStyle name="Normal 39 2" xfId="1484"/>
    <cellStyle name="Normal 39 2 2" xfId="2793"/>
    <cellStyle name="Normal 39 2 2 2" xfId="7234"/>
    <cellStyle name="Normal 39 2 3" xfId="6382"/>
    <cellStyle name="Normal 39 20" xfId="4497"/>
    <cellStyle name="Normal 39 20 2" xfId="8844"/>
    <cellStyle name="Normal 39 21" xfId="4593"/>
    <cellStyle name="Normal 39 21 2" xfId="8933"/>
    <cellStyle name="Normal 39 22" xfId="4687"/>
    <cellStyle name="Normal 39 22 2" xfId="9021"/>
    <cellStyle name="Normal 39 23" xfId="4781"/>
    <cellStyle name="Normal 39 23 2" xfId="9110"/>
    <cellStyle name="Normal 39 24" xfId="4875"/>
    <cellStyle name="Normal 39 24 2" xfId="9198"/>
    <cellStyle name="Normal 39 25" xfId="4967"/>
    <cellStyle name="Normal 39 25 2" xfId="9287"/>
    <cellStyle name="Normal 39 26" xfId="5061"/>
    <cellStyle name="Normal 39 26 2" xfId="9375"/>
    <cellStyle name="Normal 39 27" xfId="5157"/>
    <cellStyle name="Normal 39 27 2" xfId="9462"/>
    <cellStyle name="Normal 39 28" xfId="5256"/>
    <cellStyle name="Normal 39 28 2" xfId="9555"/>
    <cellStyle name="Normal 39 29" xfId="5359"/>
    <cellStyle name="Normal 39 29 2" xfId="9646"/>
    <cellStyle name="Normal 39 3" xfId="1588"/>
    <cellStyle name="Normal 39 3 2" xfId="2883"/>
    <cellStyle name="Normal 39 3 2 2" xfId="7324"/>
    <cellStyle name="Normal 39 3 3" xfId="6472"/>
    <cellStyle name="Normal 39 30" xfId="5882"/>
    <cellStyle name="Normal 39 30 2" xfId="10072"/>
    <cellStyle name="Normal 39 31" xfId="5973"/>
    <cellStyle name="Normal 39 31 2" xfId="10159"/>
    <cellStyle name="Normal 39 32" xfId="6070"/>
    <cellStyle name="Normal 39 32 2" xfId="10248"/>
    <cellStyle name="Normal 39 33" xfId="6162"/>
    <cellStyle name="Normal 39 33 2" xfId="10336"/>
    <cellStyle name="Normal 39 34" xfId="1377"/>
    <cellStyle name="Normal 39 35" xfId="6291"/>
    <cellStyle name="Normal 39 4" xfId="1698"/>
    <cellStyle name="Normal 39 4 2" xfId="2973"/>
    <cellStyle name="Normal 39 4 2 2" xfId="7412"/>
    <cellStyle name="Normal 39 4 3" xfId="6561"/>
    <cellStyle name="Normal 39 5" xfId="1842"/>
    <cellStyle name="Normal 39 5 2" xfId="3068"/>
    <cellStyle name="Normal 39 5 2 2" xfId="7506"/>
    <cellStyle name="Normal 39 5 3" xfId="6653"/>
    <cellStyle name="Normal 39 6" xfId="2160"/>
    <cellStyle name="Normal 39 7" xfId="2344"/>
    <cellStyle name="Normal 39 7 2" xfId="3282"/>
    <cellStyle name="Normal 39 7 2 2" xfId="7704"/>
    <cellStyle name="Normal 39 7 3" xfId="6839"/>
    <cellStyle name="Normal 39 8" xfId="2434"/>
    <cellStyle name="Normal 39 8 2" xfId="3371"/>
    <cellStyle name="Normal 39 8 2 2" xfId="7793"/>
    <cellStyle name="Normal 39 8 3" xfId="6927"/>
    <cellStyle name="Normal 39 9" xfId="2535"/>
    <cellStyle name="Normal 39 9 2" xfId="3461"/>
    <cellStyle name="Normal 39 9 2 2" xfId="7883"/>
    <cellStyle name="Normal 39 9 3" xfId="7014"/>
    <cellStyle name="Normal 390" xfId="5228"/>
    <cellStyle name="Normal 390 2" xfId="9527"/>
    <cellStyle name="Normal 391" xfId="5321"/>
    <cellStyle name="Normal 392" xfId="5328"/>
    <cellStyle name="Normal 393" xfId="5329"/>
    <cellStyle name="Normal 394" xfId="5330"/>
    <cellStyle name="Normal 395" xfId="5331"/>
    <cellStyle name="Normal 396" xfId="5332"/>
    <cellStyle name="Normal 397" xfId="5327"/>
    <cellStyle name="Normal 398" xfId="5326"/>
    <cellStyle name="Normal 399" xfId="5325"/>
    <cellStyle name="Normal 4" xfId="690"/>
    <cellStyle name="Normal 4 2" xfId="691"/>
    <cellStyle name="Normal 4 2 2" xfId="692"/>
    <cellStyle name="Normal 4 2 2 2" xfId="1108"/>
    <cellStyle name="Normal 4 2 2 2 2" xfId="3211"/>
    <cellStyle name="Normal 4 2 2 2 2 2" xfId="7635"/>
    <cellStyle name="Normal 4 2 2 2 3" xfId="2163"/>
    <cellStyle name="Normal 4 2 2 2 4" xfId="6773"/>
    <cellStyle name="Normal 4 2 2 3" xfId="1379"/>
    <cellStyle name="Normal 4 2 3" xfId="1178"/>
    <cellStyle name="Normal 4 2 3 2" xfId="2162"/>
    <cellStyle name="Normal 4 2 4" xfId="2657"/>
    <cellStyle name="Normal 4 2 4 2" xfId="7102"/>
    <cellStyle name="Normal 4 2 5" xfId="1241"/>
    <cellStyle name="Normal 4 2 6" xfId="6258"/>
    <cellStyle name="Normal 4 3" xfId="693"/>
    <cellStyle name="Normal 4 3 2" xfId="694"/>
    <cellStyle name="Normal 4 3 3" xfId="2164"/>
    <cellStyle name="Normal 4 3 4" xfId="1378"/>
    <cellStyle name="Normal 4 4" xfId="695"/>
    <cellStyle name="Normal 4 4 2" xfId="2165"/>
    <cellStyle name="Normal 4 4 3" xfId="1923"/>
    <cellStyle name="Normal 4 5" xfId="696"/>
    <cellStyle name="Normal 4 6" xfId="913"/>
    <cellStyle name="Normal 4 6 2" xfId="3806"/>
    <cellStyle name="Normal 4 6 3" xfId="8195"/>
    <cellStyle name="Normal 4 7" xfId="4192"/>
    <cellStyle name="Normal 4 7 2" xfId="8553"/>
    <cellStyle name="Normal 40" xfId="697"/>
    <cellStyle name="Normal 40 10" xfId="2702"/>
    <cellStyle name="Normal 40 10 2" xfId="7143"/>
    <cellStyle name="Normal 40 11" xfId="3634"/>
    <cellStyle name="Normal 40 11 2" xfId="8037"/>
    <cellStyle name="Normal 40 12" xfId="3732"/>
    <cellStyle name="Normal 40 12 2" xfId="8127"/>
    <cellStyle name="Normal 40 13" xfId="3834"/>
    <cellStyle name="Normal 40 13 2" xfId="8223"/>
    <cellStyle name="Normal 40 14" xfId="3929"/>
    <cellStyle name="Normal 40 14 2" xfId="8311"/>
    <cellStyle name="Normal 40 15" xfId="4022"/>
    <cellStyle name="Normal 40 15 2" xfId="8400"/>
    <cellStyle name="Normal 40 16" xfId="4117"/>
    <cellStyle name="Normal 40 16 2" xfId="8487"/>
    <cellStyle name="Normal 40 17" xfId="4220"/>
    <cellStyle name="Normal 40 17 2" xfId="8581"/>
    <cellStyle name="Normal 40 18" xfId="4314"/>
    <cellStyle name="Normal 40 18 2" xfId="8670"/>
    <cellStyle name="Normal 40 19" xfId="4406"/>
    <cellStyle name="Normal 40 19 2" xfId="8757"/>
    <cellStyle name="Normal 40 2" xfId="1485"/>
    <cellStyle name="Normal 40 2 2" xfId="2794"/>
    <cellStyle name="Normal 40 2 2 2" xfId="7235"/>
    <cellStyle name="Normal 40 2 3" xfId="6383"/>
    <cellStyle name="Normal 40 20" xfId="4498"/>
    <cellStyle name="Normal 40 20 2" xfId="8845"/>
    <cellStyle name="Normal 40 21" xfId="4594"/>
    <cellStyle name="Normal 40 21 2" xfId="8934"/>
    <cellStyle name="Normal 40 22" xfId="4688"/>
    <cellStyle name="Normal 40 22 2" xfId="9022"/>
    <cellStyle name="Normal 40 23" xfId="4782"/>
    <cellStyle name="Normal 40 23 2" xfId="9111"/>
    <cellStyle name="Normal 40 24" xfId="4876"/>
    <cellStyle name="Normal 40 24 2" xfId="9199"/>
    <cellStyle name="Normal 40 25" xfId="4968"/>
    <cellStyle name="Normal 40 25 2" xfId="9288"/>
    <cellStyle name="Normal 40 26" xfId="5062"/>
    <cellStyle name="Normal 40 26 2" xfId="9376"/>
    <cellStyle name="Normal 40 27" xfId="5158"/>
    <cellStyle name="Normal 40 27 2" xfId="9463"/>
    <cellStyle name="Normal 40 28" xfId="5257"/>
    <cellStyle name="Normal 40 28 2" xfId="9556"/>
    <cellStyle name="Normal 40 29" xfId="5360"/>
    <cellStyle name="Normal 40 29 2" xfId="9647"/>
    <cellStyle name="Normal 40 3" xfId="1589"/>
    <cellStyle name="Normal 40 3 2" xfId="2884"/>
    <cellStyle name="Normal 40 3 2 2" xfId="7325"/>
    <cellStyle name="Normal 40 3 3" xfId="6473"/>
    <cellStyle name="Normal 40 30" xfId="5883"/>
    <cellStyle name="Normal 40 30 2" xfId="10073"/>
    <cellStyle name="Normal 40 31" xfId="5974"/>
    <cellStyle name="Normal 40 31 2" xfId="10160"/>
    <cellStyle name="Normal 40 32" xfId="6071"/>
    <cellStyle name="Normal 40 32 2" xfId="10249"/>
    <cellStyle name="Normal 40 33" xfId="6163"/>
    <cellStyle name="Normal 40 33 2" xfId="10337"/>
    <cellStyle name="Normal 40 34" xfId="1380"/>
    <cellStyle name="Normal 40 35" xfId="6292"/>
    <cellStyle name="Normal 40 4" xfId="1699"/>
    <cellStyle name="Normal 40 4 2" xfId="2974"/>
    <cellStyle name="Normal 40 4 2 2" xfId="7413"/>
    <cellStyle name="Normal 40 4 3" xfId="6562"/>
    <cellStyle name="Normal 40 5" xfId="1843"/>
    <cellStyle name="Normal 40 5 2" xfId="3069"/>
    <cellStyle name="Normal 40 5 2 2" xfId="7507"/>
    <cellStyle name="Normal 40 5 3" xfId="6654"/>
    <cellStyle name="Normal 40 6" xfId="2166"/>
    <cellStyle name="Normal 40 7" xfId="2345"/>
    <cellStyle name="Normal 40 7 2" xfId="3283"/>
    <cellStyle name="Normal 40 7 2 2" xfId="7705"/>
    <cellStyle name="Normal 40 7 3" xfId="6840"/>
    <cellStyle name="Normal 40 8" xfId="2435"/>
    <cellStyle name="Normal 40 8 2" xfId="3372"/>
    <cellStyle name="Normal 40 8 2 2" xfId="7794"/>
    <cellStyle name="Normal 40 8 3" xfId="6928"/>
    <cellStyle name="Normal 40 9" xfId="2536"/>
    <cellStyle name="Normal 40 9 2" xfId="3462"/>
    <cellStyle name="Normal 40 9 2 2" xfId="7884"/>
    <cellStyle name="Normal 40 9 3" xfId="7015"/>
    <cellStyle name="Normal 400" xfId="5324"/>
    <cellStyle name="Normal 401" xfId="5323"/>
    <cellStyle name="Normal 402" xfId="5333"/>
    <cellStyle name="Normal 402 2" xfId="9620"/>
    <cellStyle name="Normal 403" xfId="5422"/>
    <cellStyle name="Normal 404" xfId="5423"/>
    <cellStyle name="Normal 405" xfId="5424"/>
    <cellStyle name="Normal 406" xfId="5425"/>
    <cellStyle name="Normal 407" xfId="5421"/>
    <cellStyle name="Normal 408" xfId="5426"/>
    <cellStyle name="Normal 409" xfId="5854"/>
    <cellStyle name="Normal 41" xfId="698"/>
    <cellStyle name="Normal 41 10" xfId="2703"/>
    <cellStyle name="Normal 41 10 2" xfId="7144"/>
    <cellStyle name="Normal 41 11" xfId="3635"/>
    <cellStyle name="Normal 41 11 2" xfId="8038"/>
    <cellStyle name="Normal 41 12" xfId="3733"/>
    <cellStyle name="Normal 41 12 2" xfId="8128"/>
    <cellStyle name="Normal 41 13" xfId="3835"/>
    <cellStyle name="Normal 41 13 2" xfId="8224"/>
    <cellStyle name="Normal 41 14" xfId="3930"/>
    <cellStyle name="Normal 41 14 2" xfId="8312"/>
    <cellStyle name="Normal 41 15" xfId="4023"/>
    <cellStyle name="Normal 41 15 2" xfId="8401"/>
    <cellStyle name="Normal 41 16" xfId="4118"/>
    <cellStyle name="Normal 41 16 2" xfId="8488"/>
    <cellStyle name="Normal 41 17" xfId="4221"/>
    <cellStyle name="Normal 41 17 2" xfId="8582"/>
    <cellStyle name="Normal 41 18" xfId="4315"/>
    <cellStyle name="Normal 41 18 2" xfId="8671"/>
    <cellStyle name="Normal 41 19" xfId="4407"/>
    <cellStyle name="Normal 41 19 2" xfId="8758"/>
    <cellStyle name="Normal 41 2" xfId="1486"/>
    <cellStyle name="Normal 41 2 2" xfId="2795"/>
    <cellStyle name="Normal 41 2 2 2" xfId="7236"/>
    <cellStyle name="Normal 41 2 3" xfId="6384"/>
    <cellStyle name="Normal 41 20" xfId="4499"/>
    <cellStyle name="Normal 41 20 2" xfId="8846"/>
    <cellStyle name="Normal 41 21" xfId="4595"/>
    <cellStyle name="Normal 41 21 2" xfId="8935"/>
    <cellStyle name="Normal 41 22" xfId="4689"/>
    <cellStyle name="Normal 41 22 2" xfId="9023"/>
    <cellStyle name="Normal 41 23" xfId="4783"/>
    <cellStyle name="Normal 41 23 2" xfId="9112"/>
    <cellStyle name="Normal 41 24" xfId="4877"/>
    <cellStyle name="Normal 41 24 2" xfId="9200"/>
    <cellStyle name="Normal 41 25" xfId="4969"/>
    <cellStyle name="Normal 41 25 2" xfId="9289"/>
    <cellStyle name="Normal 41 26" xfId="5063"/>
    <cellStyle name="Normal 41 26 2" xfId="9377"/>
    <cellStyle name="Normal 41 27" xfId="5159"/>
    <cellStyle name="Normal 41 27 2" xfId="9464"/>
    <cellStyle name="Normal 41 28" xfId="5258"/>
    <cellStyle name="Normal 41 28 2" xfId="9557"/>
    <cellStyle name="Normal 41 29" xfId="5361"/>
    <cellStyle name="Normal 41 29 2" xfId="9648"/>
    <cellStyle name="Normal 41 3" xfId="1590"/>
    <cellStyle name="Normal 41 3 2" xfId="2885"/>
    <cellStyle name="Normal 41 3 2 2" xfId="7326"/>
    <cellStyle name="Normal 41 3 3" xfId="6474"/>
    <cellStyle name="Normal 41 30" xfId="5884"/>
    <cellStyle name="Normal 41 30 2" xfId="10074"/>
    <cellStyle name="Normal 41 31" xfId="5975"/>
    <cellStyle name="Normal 41 31 2" xfId="10161"/>
    <cellStyle name="Normal 41 32" xfId="6072"/>
    <cellStyle name="Normal 41 32 2" xfId="10250"/>
    <cellStyle name="Normal 41 33" xfId="6164"/>
    <cellStyle name="Normal 41 33 2" xfId="10338"/>
    <cellStyle name="Normal 41 34" xfId="1381"/>
    <cellStyle name="Normal 41 35" xfId="6293"/>
    <cellStyle name="Normal 41 4" xfId="1700"/>
    <cellStyle name="Normal 41 4 2" xfId="2975"/>
    <cellStyle name="Normal 41 4 2 2" xfId="7414"/>
    <cellStyle name="Normal 41 4 3" xfId="6563"/>
    <cellStyle name="Normal 41 5" xfId="1844"/>
    <cellStyle name="Normal 41 5 2" xfId="3070"/>
    <cellStyle name="Normal 41 5 2 2" xfId="7508"/>
    <cellStyle name="Normal 41 5 3" xfId="6655"/>
    <cellStyle name="Normal 41 6" xfId="2167"/>
    <cellStyle name="Normal 41 7" xfId="2346"/>
    <cellStyle name="Normal 41 7 2" xfId="3284"/>
    <cellStyle name="Normal 41 7 2 2" xfId="7706"/>
    <cellStyle name="Normal 41 7 3" xfId="6841"/>
    <cellStyle name="Normal 41 8" xfId="2436"/>
    <cellStyle name="Normal 41 8 2" xfId="3373"/>
    <cellStyle name="Normal 41 8 2 2" xfId="7795"/>
    <cellStyle name="Normal 41 8 3" xfId="6929"/>
    <cellStyle name="Normal 41 9" xfId="2537"/>
    <cellStyle name="Normal 41 9 2" xfId="3463"/>
    <cellStyle name="Normal 41 9 2 2" xfId="7885"/>
    <cellStyle name="Normal 41 9 3" xfId="7016"/>
    <cellStyle name="Normal 410" xfId="5944"/>
    <cellStyle name="Normal 411" xfId="5945"/>
    <cellStyle name="Normal 412" xfId="5946"/>
    <cellStyle name="Normal 413" xfId="5947"/>
    <cellStyle name="Normal 414" xfId="6037"/>
    <cellStyle name="Normal 415" xfId="6038"/>
    <cellStyle name="Normal 416" xfId="6039"/>
    <cellStyle name="Normal 417" xfId="6040"/>
    <cellStyle name="Normal 418" xfId="6041"/>
    <cellStyle name="Normal 419" xfId="6042"/>
    <cellStyle name="Normal 42" xfId="699"/>
    <cellStyle name="Normal 42 10" xfId="2704"/>
    <cellStyle name="Normal 42 10 2" xfId="7145"/>
    <cellStyle name="Normal 42 11" xfId="3636"/>
    <cellStyle name="Normal 42 11 2" xfId="8039"/>
    <cellStyle name="Normal 42 12" xfId="3734"/>
    <cellStyle name="Normal 42 12 2" xfId="8129"/>
    <cellStyle name="Normal 42 13" xfId="3836"/>
    <cellStyle name="Normal 42 13 2" xfId="8225"/>
    <cellStyle name="Normal 42 14" xfId="3931"/>
    <cellStyle name="Normal 42 14 2" xfId="8313"/>
    <cellStyle name="Normal 42 15" xfId="4024"/>
    <cellStyle name="Normal 42 15 2" xfId="8402"/>
    <cellStyle name="Normal 42 16" xfId="4119"/>
    <cellStyle name="Normal 42 16 2" xfId="8489"/>
    <cellStyle name="Normal 42 17" xfId="4222"/>
    <cellStyle name="Normal 42 17 2" xfId="8583"/>
    <cellStyle name="Normal 42 18" xfId="4316"/>
    <cellStyle name="Normal 42 18 2" xfId="8672"/>
    <cellStyle name="Normal 42 19" xfId="4408"/>
    <cellStyle name="Normal 42 19 2" xfId="8759"/>
    <cellStyle name="Normal 42 2" xfId="1487"/>
    <cellStyle name="Normal 42 2 2" xfId="2796"/>
    <cellStyle name="Normal 42 2 2 2" xfId="7237"/>
    <cellStyle name="Normal 42 2 3" xfId="6385"/>
    <cellStyle name="Normal 42 20" xfId="4500"/>
    <cellStyle name="Normal 42 20 2" xfId="8847"/>
    <cellStyle name="Normal 42 21" xfId="4596"/>
    <cellStyle name="Normal 42 21 2" xfId="8936"/>
    <cellStyle name="Normal 42 22" xfId="4690"/>
    <cellStyle name="Normal 42 22 2" xfId="9024"/>
    <cellStyle name="Normal 42 23" xfId="4784"/>
    <cellStyle name="Normal 42 23 2" xfId="9113"/>
    <cellStyle name="Normal 42 24" xfId="4878"/>
    <cellStyle name="Normal 42 24 2" xfId="9201"/>
    <cellStyle name="Normal 42 25" xfId="4970"/>
    <cellStyle name="Normal 42 25 2" xfId="9290"/>
    <cellStyle name="Normal 42 26" xfId="5064"/>
    <cellStyle name="Normal 42 26 2" xfId="9378"/>
    <cellStyle name="Normal 42 27" xfId="5160"/>
    <cellStyle name="Normal 42 27 2" xfId="9465"/>
    <cellStyle name="Normal 42 28" xfId="5259"/>
    <cellStyle name="Normal 42 28 2" xfId="9558"/>
    <cellStyle name="Normal 42 29" xfId="5362"/>
    <cellStyle name="Normal 42 29 2" xfId="9649"/>
    <cellStyle name="Normal 42 3" xfId="1591"/>
    <cellStyle name="Normal 42 3 2" xfId="2886"/>
    <cellStyle name="Normal 42 3 2 2" xfId="7327"/>
    <cellStyle name="Normal 42 3 3" xfId="6475"/>
    <cellStyle name="Normal 42 30" xfId="5885"/>
    <cellStyle name="Normal 42 30 2" xfId="10075"/>
    <cellStyle name="Normal 42 31" xfId="5976"/>
    <cellStyle name="Normal 42 31 2" xfId="10162"/>
    <cellStyle name="Normal 42 32" xfId="6073"/>
    <cellStyle name="Normal 42 32 2" xfId="10251"/>
    <cellStyle name="Normal 42 33" xfId="6165"/>
    <cellStyle name="Normal 42 33 2" xfId="10339"/>
    <cellStyle name="Normal 42 34" xfId="1382"/>
    <cellStyle name="Normal 42 35" xfId="6294"/>
    <cellStyle name="Normal 42 4" xfId="1701"/>
    <cellStyle name="Normal 42 4 2" xfId="2976"/>
    <cellStyle name="Normal 42 4 2 2" xfId="7415"/>
    <cellStyle name="Normal 42 4 3" xfId="6564"/>
    <cellStyle name="Normal 42 5" xfId="1845"/>
    <cellStyle name="Normal 42 5 2" xfId="3071"/>
    <cellStyle name="Normal 42 5 2 2" xfId="7509"/>
    <cellStyle name="Normal 42 5 3" xfId="6656"/>
    <cellStyle name="Normal 42 6" xfId="2168"/>
    <cellStyle name="Normal 42 7" xfId="2347"/>
    <cellStyle name="Normal 42 7 2" xfId="3285"/>
    <cellStyle name="Normal 42 7 2 2" xfId="7707"/>
    <cellStyle name="Normal 42 7 3" xfId="6842"/>
    <cellStyle name="Normal 42 8" xfId="2437"/>
    <cellStyle name="Normal 42 8 2" xfId="3374"/>
    <cellStyle name="Normal 42 8 2 2" xfId="7796"/>
    <cellStyle name="Normal 42 8 3" xfId="6930"/>
    <cellStyle name="Normal 42 9" xfId="2538"/>
    <cellStyle name="Normal 42 9 2" xfId="3464"/>
    <cellStyle name="Normal 42 9 2 2" xfId="7886"/>
    <cellStyle name="Normal 42 9 3" xfId="7017"/>
    <cellStyle name="Normal 420" xfId="6043"/>
    <cellStyle name="Normal 421" xfId="6044"/>
    <cellStyle name="Normal 422" xfId="6132"/>
    <cellStyle name="Normal 423" xfId="6133"/>
    <cellStyle name="Normal 424" xfId="6134"/>
    <cellStyle name="Normal 425" xfId="6135"/>
    <cellStyle name="Normal 425 2" xfId="10310"/>
    <cellStyle name="Normal 426" xfId="6136"/>
    <cellStyle name="Normal 427" xfId="6224"/>
    <cellStyle name="Normal 428" xfId="6225"/>
    <cellStyle name="Normal 429" xfId="1214"/>
    <cellStyle name="Normal 429 2" xfId="10398"/>
    <cellStyle name="Normal 43" xfId="700"/>
    <cellStyle name="Normal 43 10" xfId="2705"/>
    <cellStyle name="Normal 43 10 2" xfId="7146"/>
    <cellStyle name="Normal 43 11" xfId="3637"/>
    <cellStyle name="Normal 43 11 2" xfId="8040"/>
    <cellStyle name="Normal 43 12" xfId="3735"/>
    <cellStyle name="Normal 43 12 2" xfId="8130"/>
    <cellStyle name="Normal 43 13" xfId="3837"/>
    <cellStyle name="Normal 43 13 2" xfId="8226"/>
    <cellStyle name="Normal 43 14" xfId="3932"/>
    <cellStyle name="Normal 43 14 2" xfId="8314"/>
    <cellStyle name="Normal 43 15" xfId="4025"/>
    <cellStyle name="Normal 43 15 2" xfId="8403"/>
    <cellStyle name="Normal 43 16" xfId="4120"/>
    <cellStyle name="Normal 43 16 2" xfId="8490"/>
    <cellStyle name="Normal 43 17" xfId="4223"/>
    <cellStyle name="Normal 43 17 2" xfId="8584"/>
    <cellStyle name="Normal 43 18" xfId="4317"/>
    <cellStyle name="Normal 43 18 2" xfId="8673"/>
    <cellStyle name="Normal 43 19" xfId="4409"/>
    <cellStyle name="Normal 43 19 2" xfId="8760"/>
    <cellStyle name="Normal 43 2" xfId="1488"/>
    <cellStyle name="Normal 43 2 2" xfId="2797"/>
    <cellStyle name="Normal 43 2 2 2" xfId="7238"/>
    <cellStyle name="Normal 43 2 3" xfId="6386"/>
    <cellStyle name="Normal 43 20" xfId="4501"/>
    <cellStyle name="Normal 43 20 2" xfId="8848"/>
    <cellStyle name="Normal 43 21" xfId="4597"/>
    <cellStyle name="Normal 43 21 2" xfId="8937"/>
    <cellStyle name="Normal 43 22" xfId="4691"/>
    <cellStyle name="Normal 43 22 2" xfId="9025"/>
    <cellStyle name="Normal 43 23" xfId="4785"/>
    <cellStyle name="Normal 43 23 2" xfId="9114"/>
    <cellStyle name="Normal 43 24" xfId="4879"/>
    <cellStyle name="Normal 43 24 2" xfId="9202"/>
    <cellStyle name="Normal 43 25" xfId="4971"/>
    <cellStyle name="Normal 43 25 2" xfId="9291"/>
    <cellStyle name="Normal 43 26" xfId="5065"/>
    <cellStyle name="Normal 43 26 2" xfId="9379"/>
    <cellStyle name="Normal 43 27" xfId="5161"/>
    <cellStyle name="Normal 43 27 2" xfId="9466"/>
    <cellStyle name="Normal 43 28" xfId="5260"/>
    <cellStyle name="Normal 43 28 2" xfId="9559"/>
    <cellStyle name="Normal 43 29" xfId="5363"/>
    <cellStyle name="Normal 43 29 2" xfId="9650"/>
    <cellStyle name="Normal 43 3" xfId="1592"/>
    <cellStyle name="Normal 43 3 2" xfId="2887"/>
    <cellStyle name="Normal 43 3 2 2" xfId="7328"/>
    <cellStyle name="Normal 43 3 3" xfId="6476"/>
    <cellStyle name="Normal 43 30" xfId="5886"/>
    <cellStyle name="Normal 43 30 2" xfId="10076"/>
    <cellStyle name="Normal 43 31" xfId="5977"/>
    <cellStyle name="Normal 43 31 2" xfId="10163"/>
    <cellStyle name="Normal 43 32" xfId="6074"/>
    <cellStyle name="Normal 43 32 2" xfId="10252"/>
    <cellStyle name="Normal 43 33" xfId="6166"/>
    <cellStyle name="Normal 43 33 2" xfId="10340"/>
    <cellStyle name="Normal 43 34" xfId="1383"/>
    <cellStyle name="Normal 43 35" xfId="6295"/>
    <cellStyle name="Normal 43 4" xfId="1702"/>
    <cellStyle name="Normal 43 4 2" xfId="2977"/>
    <cellStyle name="Normal 43 4 2 2" xfId="7416"/>
    <cellStyle name="Normal 43 4 3" xfId="6565"/>
    <cellStyle name="Normal 43 5" xfId="1846"/>
    <cellStyle name="Normal 43 5 2" xfId="3072"/>
    <cellStyle name="Normal 43 5 2 2" xfId="7510"/>
    <cellStyle name="Normal 43 5 3" xfId="6657"/>
    <cellStyle name="Normal 43 6" xfId="2169"/>
    <cellStyle name="Normal 43 7" xfId="2348"/>
    <cellStyle name="Normal 43 7 2" xfId="3286"/>
    <cellStyle name="Normal 43 7 2 2" xfId="7708"/>
    <cellStyle name="Normal 43 7 3" xfId="6843"/>
    <cellStyle name="Normal 43 8" xfId="2438"/>
    <cellStyle name="Normal 43 8 2" xfId="3375"/>
    <cellStyle name="Normal 43 8 2 2" xfId="7797"/>
    <cellStyle name="Normal 43 8 3" xfId="6931"/>
    <cellStyle name="Normal 43 9" xfId="2539"/>
    <cellStyle name="Normal 43 9 2" xfId="3465"/>
    <cellStyle name="Normal 43 9 2 2" xfId="7887"/>
    <cellStyle name="Normal 43 9 3" xfId="7018"/>
    <cellStyle name="Normal 430" xfId="1225"/>
    <cellStyle name="Normal 431" xfId="6226"/>
    <cellStyle name="Normal 432" xfId="6228"/>
    <cellStyle name="Normal 433" xfId="6241"/>
    <cellStyle name="Normal 434" xfId="11001"/>
    <cellStyle name="Normal 435" xfId="11007"/>
    <cellStyle name="Normal 436" xfId="11010"/>
    <cellStyle name="Normal 437" xfId="11008"/>
    <cellStyle name="Normal 438" xfId="11011"/>
    <cellStyle name="Normal 439" xfId="11027"/>
    <cellStyle name="Normal 44" xfId="701"/>
    <cellStyle name="Normal 44 10" xfId="2706"/>
    <cellStyle name="Normal 44 10 2" xfId="7147"/>
    <cellStyle name="Normal 44 11" xfId="3638"/>
    <cellStyle name="Normal 44 11 2" xfId="8041"/>
    <cellStyle name="Normal 44 12" xfId="3736"/>
    <cellStyle name="Normal 44 12 2" xfId="8131"/>
    <cellStyle name="Normal 44 13" xfId="3838"/>
    <cellStyle name="Normal 44 13 2" xfId="8227"/>
    <cellStyle name="Normal 44 14" xfId="3933"/>
    <cellStyle name="Normal 44 14 2" xfId="8315"/>
    <cellStyle name="Normal 44 15" xfId="4026"/>
    <cellStyle name="Normal 44 15 2" xfId="8404"/>
    <cellStyle name="Normal 44 16" xfId="4121"/>
    <cellStyle name="Normal 44 16 2" xfId="8491"/>
    <cellStyle name="Normal 44 17" xfId="4224"/>
    <cellStyle name="Normal 44 17 2" xfId="8585"/>
    <cellStyle name="Normal 44 18" xfId="4318"/>
    <cellStyle name="Normal 44 18 2" xfId="8674"/>
    <cellStyle name="Normal 44 19" xfId="4410"/>
    <cellStyle name="Normal 44 19 2" xfId="8761"/>
    <cellStyle name="Normal 44 2" xfId="1489"/>
    <cellStyle name="Normal 44 2 2" xfId="2798"/>
    <cellStyle name="Normal 44 2 2 2" xfId="7239"/>
    <cellStyle name="Normal 44 2 3" xfId="6387"/>
    <cellStyle name="Normal 44 20" xfId="4502"/>
    <cellStyle name="Normal 44 20 2" xfId="8849"/>
    <cellStyle name="Normal 44 21" xfId="4598"/>
    <cellStyle name="Normal 44 21 2" xfId="8938"/>
    <cellStyle name="Normal 44 22" xfId="4692"/>
    <cellStyle name="Normal 44 22 2" xfId="9026"/>
    <cellStyle name="Normal 44 23" xfId="4786"/>
    <cellStyle name="Normal 44 23 2" xfId="9115"/>
    <cellStyle name="Normal 44 24" xfId="4880"/>
    <cellStyle name="Normal 44 24 2" xfId="9203"/>
    <cellStyle name="Normal 44 25" xfId="4972"/>
    <cellStyle name="Normal 44 25 2" xfId="9292"/>
    <cellStyle name="Normal 44 26" xfId="5066"/>
    <cellStyle name="Normal 44 26 2" xfId="9380"/>
    <cellStyle name="Normal 44 27" xfId="5162"/>
    <cellStyle name="Normal 44 27 2" xfId="9467"/>
    <cellStyle name="Normal 44 28" xfId="5261"/>
    <cellStyle name="Normal 44 28 2" xfId="9560"/>
    <cellStyle name="Normal 44 29" xfId="5364"/>
    <cellStyle name="Normal 44 29 2" xfId="9651"/>
    <cellStyle name="Normal 44 3" xfId="1593"/>
    <cellStyle name="Normal 44 3 2" xfId="2888"/>
    <cellStyle name="Normal 44 3 2 2" xfId="7329"/>
    <cellStyle name="Normal 44 3 3" xfId="6477"/>
    <cellStyle name="Normal 44 30" xfId="5887"/>
    <cellStyle name="Normal 44 30 2" xfId="10077"/>
    <cellStyle name="Normal 44 31" xfId="5978"/>
    <cellStyle name="Normal 44 31 2" xfId="10164"/>
    <cellStyle name="Normal 44 32" xfId="6075"/>
    <cellStyle name="Normal 44 32 2" xfId="10253"/>
    <cellStyle name="Normal 44 33" xfId="6167"/>
    <cellStyle name="Normal 44 33 2" xfId="10341"/>
    <cellStyle name="Normal 44 34" xfId="1384"/>
    <cellStyle name="Normal 44 35" xfId="6296"/>
    <cellStyle name="Normal 44 4" xfId="1703"/>
    <cellStyle name="Normal 44 4 2" xfId="2978"/>
    <cellStyle name="Normal 44 4 2 2" xfId="7417"/>
    <cellStyle name="Normal 44 4 3" xfId="6566"/>
    <cellStyle name="Normal 44 5" xfId="1847"/>
    <cellStyle name="Normal 44 5 2" xfId="3073"/>
    <cellStyle name="Normal 44 5 2 2" xfId="7511"/>
    <cellStyle name="Normal 44 5 3" xfId="6658"/>
    <cellStyle name="Normal 44 6" xfId="2170"/>
    <cellStyle name="Normal 44 7" xfId="2349"/>
    <cellStyle name="Normal 44 7 2" xfId="3287"/>
    <cellStyle name="Normal 44 7 2 2" xfId="7709"/>
    <cellStyle name="Normal 44 7 3" xfId="6844"/>
    <cellStyle name="Normal 44 8" xfId="2439"/>
    <cellStyle name="Normal 44 8 2" xfId="3376"/>
    <cellStyle name="Normal 44 8 2 2" xfId="7798"/>
    <cellStyle name="Normal 44 8 3" xfId="6932"/>
    <cellStyle name="Normal 44 9" xfId="2540"/>
    <cellStyle name="Normal 44 9 2" xfId="3466"/>
    <cellStyle name="Normal 44 9 2 2" xfId="7888"/>
    <cellStyle name="Normal 44 9 3" xfId="7019"/>
    <cellStyle name="Normal 440" xfId="11029"/>
    <cellStyle name="Normal 441" xfId="11030"/>
    <cellStyle name="Normal 442" xfId="11031"/>
    <cellStyle name="Normal 443" xfId="11038"/>
    <cellStyle name="Normal 45" xfId="702"/>
    <cellStyle name="Normal 45 10" xfId="2707"/>
    <cellStyle name="Normal 45 10 2" xfId="7148"/>
    <cellStyle name="Normal 45 11" xfId="3639"/>
    <cellStyle name="Normal 45 11 2" xfId="8042"/>
    <cellStyle name="Normal 45 12" xfId="3737"/>
    <cellStyle name="Normal 45 12 2" xfId="8132"/>
    <cellStyle name="Normal 45 13" xfId="3839"/>
    <cellStyle name="Normal 45 13 2" xfId="8228"/>
    <cellStyle name="Normal 45 14" xfId="3934"/>
    <cellStyle name="Normal 45 14 2" xfId="8316"/>
    <cellStyle name="Normal 45 15" xfId="4027"/>
    <cellStyle name="Normal 45 15 2" xfId="8405"/>
    <cellStyle name="Normal 45 16" xfId="4122"/>
    <cellStyle name="Normal 45 16 2" xfId="8492"/>
    <cellStyle name="Normal 45 17" xfId="4225"/>
    <cellStyle name="Normal 45 17 2" xfId="8586"/>
    <cellStyle name="Normal 45 18" xfId="4319"/>
    <cellStyle name="Normal 45 18 2" xfId="8675"/>
    <cellStyle name="Normal 45 19" xfId="4411"/>
    <cellStyle name="Normal 45 19 2" xfId="8762"/>
    <cellStyle name="Normal 45 2" xfId="1490"/>
    <cellStyle name="Normal 45 2 2" xfId="2799"/>
    <cellStyle name="Normal 45 2 2 2" xfId="7240"/>
    <cellStyle name="Normal 45 2 3" xfId="6388"/>
    <cellStyle name="Normal 45 20" xfId="4503"/>
    <cellStyle name="Normal 45 20 2" xfId="8850"/>
    <cellStyle name="Normal 45 21" xfId="4599"/>
    <cellStyle name="Normal 45 21 2" xfId="8939"/>
    <cellStyle name="Normal 45 22" xfId="4693"/>
    <cellStyle name="Normal 45 22 2" xfId="9027"/>
    <cellStyle name="Normal 45 23" xfId="4787"/>
    <cellStyle name="Normal 45 23 2" xfId="9116"/>
    <cellStyle name="Normal 45 24" xfId="4881"/>
    <cellStyle name="Normal 45 24 2" xfId="9204"/>
    <cellStyle name="Normal 45 25" xfId="4973"/>
    <cellStyle name="Normal 45 25 2" xfId="9293"/>
    <cellStyle name="Normal 45 26" xfId="5067"/>
    <cellStyle name="Normal 45 26 2" xfId="9381"/>
    <cellStyle name="Normal 45 27" xfId="5163"/>
    <cellStyle name="Normal 45 27 2" xfId="9468"/>
    <cellStyle name="Normal 45 28" xfId="5262"/>
    <cellStyle name="Normal 45 28 2" xfId="9561"/>
    <cellStyle name="Normal 45 29" xfId="5365"/>
    <cellStyle name="Normal 45 29 2" xfId="9652"/>
    <cellStyle name="Normal 45 3" xfId="1594"/>
    <cellStyle name="Normal 45 3 2" xfId="2889"/>
    <cellStyle name="Normal 45 3 2 2" xfId="7330"/>
    <cellStyle name="Normal 45 3 3" xfId="6478"/>
    <cellStyle name="Normal 45 30" xfId="5888"/>
    <cellStyle name="Normal 45 30 2" xfId="10078"/>
    <cellStyle name="Normal 45 31" xfId="5979"/>
    <cellStyle name="Normal 45 31 2" xfId="10165"/>
    <cellStyle name="Normal 45 32" xfId="6076"/>
    <cellStyle name="Normal 45 32 2" xfId="10254"/>
    <cellStyle name="Normal 45 33" xfId="6168"/>
    <cellStyle name="Normal 45 33 2" xfId="10342"/>
    <cellStyle name="Normal 45 34" xfId="1385"/>
    <cellStyle name="Normal 45 35" xfId="6297"/>
    <cellStyle name="Normal 45 4" xfId="1704"/>
    <cellStyle name="Normal 45 4 2" xfId="2979"/>
    <cellStyle name="Normal 45 4 2 2" xfId="7418"/>
    <cellStyle name="Normal 45 4 3" xfId="6567"/>
    <cellStyle name="Normal 45 5" xfId="1848"/>
    <cellStyle name="Normal 45 5 2" xfId="3074"/>
    <cellStyle name="Normal 45 5 2 2" xfId="7512"/>
    <cellStyle name="Normal 45 5 3" xfId="6659"/>
    <cellStyle name="Normal 45 6" xfId="2171"/>
    <cellStyle name="Normal 45 7" xfId="2350"/>
    <cellStyle name="Normal 45 7 2" xfId="3288"/>
    <cellStyle name="Normal 45 7 2 2" xfId="7710"/>
    <cellStyle name="Normal 45 7 3" xfId="6845"/>
    <cellStyle name="Normal 45 8" xfId="2440"/>
    <cellStyle name="Normal 45 8 2" xfId="3377"/>
    <cellStyle name="Normal 45 8 2 2" xfId="7799"/>
    <cellStyle name="Normal 45 8 3" xfId="6933"/>
    <cellStyle name="Normal 45 9" xfId="2541"/>
    <cellStyle name="Normal 45 9 2" xfId="3467"/>
    <cellStyle name="Normal 45 9 2 2" xfId="7889"/>
    <cellStyle name="Normal 45 9 3" xfId="7020"/>
    <cellStyle name="Normal 46" xfId="703"/>
    <cellStyle name="Normal 46 10" xfId="2708"/>
    <cellStyle name="Normal 46 10 2" xfId="7149"/>
    <cellStyle name="Normal 46 11" xfId="3640"/>
    <cellStyle name="Normal 46 11 2" xfId="8043"/>
    <cellStyle name="Normal 46 12" xfId="3738"/>
    <cellStyle name="Normal 46 12 2" xfId="8133"/>
    <cellStyle name="Normal 46 13" xfId="3840"/>
    <cellStyle name="Normal 46 13 2" xfId="8229"/>
    <cellStyle name="Normal 46 14" xfId="3935"/>
    <cellStyle name="Normal 46 14 2" xfId="8317"/>
    <cellStyle name="Normal 46 15" xfId="4028"/>
    <cellStyle name="Normal 46 15 2" xfId="8406"/>
    <cellStyle name="Normal 46 16" xfId="4123"/>
    <cellStyle name="Normal 46 16 2" xfId="8493"/>
    <cellStyle name="Normal 46 17" xfId="4226"/>
    <cellStyle name="Normal 46 17 2" xfId="8587"/>
    <cellStyle name="Normal 46 18" xfId="4320"/>
    <cellStyle name="Normal 46 18 2" xfId="8676"/>
    <cellStyle name="Normal 46 19" xfId="4412"/>
    <cellStyle name="Normal 46 19 2" xfId="8763"/>
    <cellStyle name="Normal 46 2" xfId="1491"/>
    <cellStyle name="Normal 46 2 2" xfId="2800"/>
    <cellStyle name="Normal 46 2 2 2" xfId="7241"/>
    <cellStyle name="Normal 46 2 3" xfId="6389"/>
    <cellStyle name="Normal 46 20" xfId="4504"/>
    <cellStyle name="Normal 46 20 2" xfId="8851"/>
    <cellStyle name="Normal 46 21" xfId="4600"/>
    <cellStyle name="Normal 46 21 2" xfId="8940"/>
    <cellStyle name="Normal 46 22" xfId="4694"/>
    <cellStyle name="Normal 46 22 2" xfId="9028"/>
    <cellStyle name="Normal 46 23" xfId="4788"/>
    <cellStyle name="Normal 46 23 2" xfId="9117"/>
    <cellStyle name="Normal 46 24" xfId="4882"/>
    <cellStyle name="Normal 46 24 2" xfId="9205"/>
    <cellStyle name="Normal 46 25" xfId="4974"/>
    <cellStyle name="Normal 46 25 2" xfId="9294"/>
    <cellStyle name="Normal 46 26" xfId="5068"/>
    <cellStyle name="Normal 46 26 2" xfId="9382"/>
    <cellStyle name="Normal 46 27" xfId="5164"/>
    <cellStyle name="Normal 46 27 2" xfId="9469"/>
    <cellStyle name="Normal 46 28" xfId="5263"/>
    <cellStyle name="Normal 46 28 2" xfId="9562"/>
    <cellStyle name="Normal 46 29" xfId="5366"/>
    <cellStyle name="Normal 46 29 2" xfId="9653"/>
    <cellStyle name="Normal 46 3" xfId="1595"/>
    <cellStyle name="Normal 46 3 2" xfId="2890"/>
    <cellStyle name="Normal 46 3 2 2" xfId="7331"/>
    <cellStyle name="Normal 46 3 3" xfId="6479"/>
    <cellStyle name="Normal 46 30" xfId="5889"/>
    <cellStyle name="Normal 46 30 2" xfId="10079"/>
    <cellStyle name="Normal 46 31" xfId="5980"/>
    <cellStyle name="Normal 46 31 2" xfId="10166"/>
    <cellStyle name="Normal 46 32" xfId="6077"/>
    <cellStyle name="Normal 46 32 2" xfId="10255"/>
    <cellStyle name="Normal 46 33" xfId="6169"/>
    <cellStyle name="Normal 46 33 2" xfId="10343"/>
    <cellStyle name="Normal 46 34" xfId="1386"/>
    <cellStyle name="Normal 46 35" xfId="6298"/>
    <cellStyle name="Normal 46 4" xfId="1705"/>
    <cellStyle name="Normal 46 4 2" xfId="2980"/>
    <cellStyle name="Normal 46 4 2 2" xfId="7419"/>
    <cellStyle name="Normal 46 4 3" xfId="6568"/>
    <cellStyle name="Normal 46 5" xfId="1849"/>
    <cellStyle name="Normal 46 5 2" xfId="3075"/>
    <cellStyle name="Normal 46 5 2 2" xfId="7513"/>
    <cellStyle name="Normal 46 5 3" xfId="6660"/>
    <cellStyle name="Normal 46 6" xfId="2172"/>
    <cellStyle name="Normal 46 7" xfId="2351"/>
    <cellStyle name="Normal 46 7 2" xfId="3289"/>
    <cellStyle name="Normal 46 7 2 2" xfId="7711"/>
    <cellStyle name="Normal 46 7 3" xfId="6846"/>
    <cellStyle name="Normal 46 8" xfId="2441"/>
    <cellStyle name="Normal 46 8 2" xfId="3378"/>
    <cellStyle name="Normal 46 8 2 2" xfId="7800"/>
    <cellStyle name="Normal 46 8 3" xfId="6934"/>
    <cellStyle name="Normal 46 9" xfId="2542"/>
    <cellStyle name="Normal 46 9 2" xfId="3468"/>
    <cellStyle name="Normal 46 9 2 2" xfId="7890"/>
    <cellStyle name="Normal 46 9 3" xfId="7021"/>
    <cellStyle name="Normal 47" xfId="704"/>
    <cellStyle name="Normal 47 10" xfId="2709"/>
    <cellStyle name="Normal 47 10 2" xfId="7150"/>
    <cellStyle name="Normal 47 11" xfId="3641"/>
    <cellStyle name="Normal 47 11 2" xfId="8044"/>
    <cellStyle name="Normal 47 12" xfId="3739"/>
    <cellStyle name="Normal 47 12 2" xfId="8134"/>
    <cellStyle name="Normal 47 13" xfId="3841"/>
    <cellStyle name="Normal 47 13 2" xfId="8230"/>
    <cellStyle name="Normal 47 14" xfId="3936"/>
    <cellStyle name="Normal 47 14 2" xfId="8318"/>
    <cellStyle name="Normal 47 15" xfId="4029"/>
    <cellStyle name="Normal 47 15 2" xfId="8407"/>
    <cellStyle name="Normal 47 16" xfId="4124"/>
    <cellStyle name="Normal 47 16 2" xfId="8494"/>
    <cellStyle name="Normal 47 17" xfId="4227"/>
    <cellStyle name="Normal 47 17 2" xfId="8588"/>
    <cellStyle name="Normal 47 18" xfId="4321"/>
    <cellStyle name="Normal 47 18 2" xfId="8677"/>
    <cellStyle name="Normal 47 19" xfId="4413"/>
    <cellStyle name="Normal 47 19 2" xfId="8764"/>
    <cellStyle name="Normal 47 2" xfId="1492"/>
    <cellStyle name="Normal 47 2 2" xfId="2801"/>
    <cellStyle name="Normal 47 2 2 2" xfId="7242"/>
    <cellStyle name="Normal 47 2 3" xfId="6390"/>
    <cellStyle name="Normal 47 20" xfId="4505"/>
    <cellStyle name="Normal 47 20 2" xfId="8852"/>
    <cellStyle name="Normal 47 21" xfId="4601"/>
    <cellStyle name="Normal 47 21 2" xfId="8941"/>
    <cellStyle name="Normal 47 22" xfId="4695"/>
    <cellStyle name="Normal 47 22 2" xfId="9029"/>
    <cellStyle name="Normal 47 23" xfId="4789"/>
    <cellStyle name="Normal 47 23 2" xfId="9118"/>
    <cellStyle name="Normal 47 24" xfId="4883"/>
    <cellStyle name="Normal 47 24 2" xfId="9206"/>
    <cellStyle name="Normal 47 25" xfId="4975"/>
    <cellStyle name="Normal 47 25 2" xfId="9295"/>
    <cellStyle name="Normal 47 26" xfId="5069"/>
    <cellStyle name="Normal 47 26 2" xfId="9383"/>
    <cellStyle name="Normal 47 27" xfId="5165"/>
    <cellStyle name="Normal 47 27 2" xfId="9470"/>
    <cellStyle name="Normal 47 28" xfId="5264"/>
    <cellStyle name="Normal 47 28 2" xfId="9563"/>
    <cellStyle name="Normal 47 29" xfId="5367"/>
    <cellStyle name="Normal 47 29 2" xfId="9654"/>
    <cellStyle name="Normal 47 3" xfId="1596"/>
    <cellStyle name="Normal 47 3 2" xfId="2891"/>
    <cellStyle name="Normal 47 3 2 2" xfId="7332"/>
    <cellStyle name="Normal 47 3 3" xfId="6480"/>
    <cellStyle name="Normal 47 30" xfId="5890"/>
    <cellStyle name="Normal 47 30 2" xfId="10080"/>
    <cellStyle name="Normal 47 31" xfId="5981"/>
    <cellStyle name="Normal 47 31 2" xfId="10167"/>
    <cellStyle name="Normal 47 32" xfId="6078"/>
    <cellStyle name="Normal 47 32 2" xfId="10256"/>
    <cellStyle name="Normal 47 33" xfId="6170"/>
    <cellStyle name="Normal 47 33 2" xfId="10344"/>
    <cellStyle name="Normal 47 34" xfId="1387"/>
    <cellStyle name="Normal 47 35" xfId="6299"/>
    <cellStyle name="Normal 47 4" xfId="1706"/>
    <cellStyle name="Normal 47 4 2" xfId="2981"/>
    <cellStyle name="Normal 47 4 2 2" xfId="7420"/>
    <cellStyle name="Normal 47 4 3" xfId="6569"/>
    <cellStyle name="Normal 47 5" xfId="1850"/>
    <cellStyle name="Normal 47 5 2" xfId="3076"/>
    <cellStyle name="Normal 47 5 2 2" xfId="7514"/>
    <cellStyle name="Normal 47 5 3" xfId="6661"/>
    <cellStyle name="Normal 47 6" xfId="2173"/>
    <cellStyle name="Normal 47 7" xfId="2352"/>
    <cellStyle name="Normal 47 7 2" xfId="3290"/>
    <cellStyle name="Normal 47 7 2 2" xfId="7712"/>
    <cellStyle name="Normal 47 7 3" xfId="6847"/>
    <cellStyle name="Normal 47 8" xfId="2442"/>
    <cellStyle name="Normal 47 8 2" xfId="3379"/>
    <cellStyle name="Normal 47 8 2 2" xfId="7801"/>
    <cellStyle name="Normal 47 8 3" xfId="6935"/>
    <cellStyle name="Normal 47 9" xfId="2543"/>
    <cellStyle name="Normal 47 9 2" xfId="3469"/>
    <cellStyle name="Normal 47 9 2 2" xfId="7891"/>
    <cellStyle name="Normal 47 9 3" xfId="7022"/>
    <cellStyle name="Normal 48" xfId="705"/>
    <cellStyle name="Normal 48 10" xfId="2710"/>
    <cellStyle name="Normal 48 10 2" xfId="7151"/>
    <cellStyle name="Normal 48 11" xfId="3642"/>
    <cellStyle name="Normal 48 11 2" xfId="8045"/>
    <cellStyle name="Normal 48 12" xfId="3740"/>
    <cellStyle name="Normal 48 12 2" xfId="8135"/>
    <cellStyle name="Normal 48 13" xfId="3842"/>
    <cellStyle name="Normal 48 13 2" xfId="8231"/>
    <cellStyle name="Normal 48 14" xfId="3937"/>
    <cellStyle name="Normal 48 14 2" xfId="8319"/>
    <cellStyle name="Normal 48 15" xfId="4030"/>
    <cellStyle name="Normal 48 15 2" xfId="8408"/>
    <cellStyle name="Normal 48 16" xfId="4125"/>
    <cellStyle name="Normal 48 16 2" xfId="8495"/>
    <cellStyle name="Normal 48 17" xfId="4228"/>
    <cellStyle name="Normal 48 17 2" xfId="8589"/>
    <cellStyle name="Normal 48 18" xfId="4322"/>
    <cellStyle name="Normal 48 18 2" xfId="8678"/>
    <cellStyle name="Normal 48 19" xfId="4414"/>
    <cellStyle name="Normal 48 19 2" xfId="8765"/>
    <cellStyle name="Normal 48 2" xfId="1493"/>
    <cellStyle name="Normal 48 2 2" xfId="2802"/>
    <cellStyle name="Normal 48 2 2 2" xfId="7243"/>
    <cellStyle name="Normal 48 2 3" xfId="6391"/>
    <cellStyle name="Normal 48 20" xfId="4506"/>
    <cellStyle name="Normal 48 20 2" xfId="8853"/>
    <cellStyle name="Normal 48 21" xfId="4602"/>
    <cellStyle name="Normal 48 21 2" xfId="8942"/>
    <cellStyle name="Normal 48 22" xfId="4696"/>
    <cellStyle name="Normal 48 22 2" xfId="9030"/>
    <cellStyle name="Normal 48 23" xfId="4790"/>
    <cellStyle name="Normal 48 23 2" xfId="9119"/>
    <cellStyle name="Normal 48 24" xfId="4884"/>
    <cellStyle name="Normal 48 24 2" xfId="9207"/>
    <cellStyle name="Normal 48 25" xfId="4976"/>
    <cellStyle name="Normal 48 25 2" xfId="9296"/>
    <cellStyle name="Normal 48 26" xfId="5070"/>
    <cellStyle name="Normal 48 26 2" xfId="9384"/>
    <cellStyle name="Normal 48 27" xfId="5166"/>
    <cellStyle name="Normal 48 27 2" xfId="9471"/>
    <cellStyle name="Normal 48 28" xfId="5265"/>
    <cellStyle name="Normal 48 28 2" xfId="9564"/>
    <cellStyle name="Normal 48 29" xfId="5368"/>
    <cellStyle name="Normal 48 29 2" xfId="9655"/>
    <cellStyle name="Normal 48 3" xfId="1597"/>
    <cellStyle name="Normal 48 3 2" xfId="2892"/>
    <cellStyle name="Normal 48 3 2 2" xfId="7333"/>
    <cellStyle name="Normal 48 3 3" xfId="6481"/>
    <cellStyle name="Normal 48 30" xfId="5891"/>
    <cellStyle name="Normal 48 30 2" xfId="10081"/>
    <cellStyle name="Normal 48 31" xfId="5982"/>
    <cellStyle name="Normal 48 31 2" xfId="10168"/>
    <cellStyle name="Normal 48 32" xfId="6079"/>
    <cellStyle name="Normal 48 32 2" xfId="10257"/>
    <cellStyle name="Normal 48 33" xfId="6171"/>
    <cellStyle name="Normal 48 33 2" xfId="10345"/>
    <cellStyle name="Normal 48 34" xfId="1388"/>
    <cellStyle name="Normal 48 35" xfId="6300"/>
    <cellStyle name="Normal 48 4" xfId="1707"/>
    <cellStyle name="Normal 48 4 2" xfId="2982"/>
    <cellStyle name="Normal 48 4 2 2" xfId="7421"/>
    <cellStyle name="Normal 48 4 3" xfId="6570"/>
    <cellStyle name="Normal 48 5" xfId="1851"/>
    <cellStyle name="Normal 48 5 2" xfId="3077"/>
    <cellStyle name="Normal 48 5 2 2" xfId="7515"/>
    <cellStyle name="Normal 48 5 3" xfId="6662"/>
    <cellStyle name="Normal 48 6" xfId="2174"/>
    <cellStyle name="Normal 48 7" xfId="2353"/>
    <cellStyle name="Normal 48 7 2" xfId="3291"/>
    <cellStyle name="Normal 48 7 2 2" xfId="7713"/>
    <cellStyle name="Normal 48 7 3" xfId="6848"/>
    <cellStyle name="Normal 48 8" xfId="2443"/>
    <cellStyle name="Normal 48 8 2" xfId="3380"/>
    <cellStyle name="Normal 48 8 2 2" xfId="7802"/>
    <cellStyle name="Normal 48 8 3" xfId="6936"/>
    <cellStyle name="Normal 48 9" xfId="2544"/>
    <cellStyle name="Normal 48 9 2" xfId="3470"/>
    <cellStyle name="Normal 48 9 2 2" xfId="7892"/>
    <cellStyle name="Normal 48 9 3" xfId="7023"/>
    <cellStyle name="Normal 49" xfId="706"/>
    <cellStyle name="Normal 49 10" xfId="2711"/>
    <cellStyle name="Normal 49 10 2" xfId="7152"/>
    <cellStyle name="Normal 49 11" xfId="3643"/>
    <cellStyle name="Normal 49 11 2" xfId="8046"/>
    <cellStyle name="Normal 49 12" xfId="3741"/>
    <cellStyle name="Normal 49 12 2" xfId="8136"/>
    <cellStyle name="Normal 49 13" xfId="3843"/>
    <cellStyle name="Normal 49 13 2" xfId="8232"/>
    <cellStyle name="Normal 49 14" xfId="3938"/>
    <cellStyle name="Normal 49 14 2" xfId="8320"/>
    <cellStyle name="Normal 49 15" xfId="4031"/>
    <cellStyle name="Normal 49 15 2" xfId="8409"/>
    <cellStyle name="Normal 49 16" xfId="4126"/>
    <cellStyle name="Normal 49 16 2" xfId="8496"/>
    <cellStyle name="Normal 49 17" xfId="4229"/>
    <cellStyle name="Normal 49 17 2" xfId="8590"/>
    <cellStyle name="Normal 49 18" xfId="4323"/>
    <cellStyle name="Normal 49 18 2" xfId="8679"/>
    <cellStyle name="Normal 49 19" xfId="4415"/>
    <cellStyle name="Normal 49 19 2" xfId="8766"/>
    <cellStyle name="Normal 49 2" xfId="1494"/>
    <cellStyle name="Normal 49 2 2" xfId="2803"/>
    <cellStyle name="Normal 49 2 2 2" xfId="7244"/>
    <cellStyle name="Normal 49 2 3" xfId="6392"/>
    <cellStyle name="Normal 49 20" xfId="4507"/>
    <cellStyle name="Normal 49 20 2" xfId="8854"/>
    <cellStyle name="Normal 49 21" xfId="4603"/>
    <cellStyle name="Normal 49 21 2" xfId="8943"/>
    <cellStyle name="Normal 49 22" xfId="4697"/>
    <cellStyle name="Normal 49 22 2" xfId="9031"/>
    <cellStyle name="Normal 49 23" xfId="4791"/>
    <cellStyle name="Normal 49 23 2" xfId="9120"/>
    <cellStyle name="Normal 49 24" xfId="4885"/>
    <cellStyle name="Normal 49 24 2" xfId="9208"/>
    <cellStyle name="Normal 49 25" xfId="4977"/>
    <cellStyle name="Normal 49 25 2" xfId="9297"/>
    <cellStyle name="Normal 49 26" xfId="5071"/>
    <cellStyle name="Normal 49 26 2" xfId="9385"/>
    <cellStyle name="Normal 49 27" xfId="5167"/>
    <cellStyle name="Normal 49 27 2" xfId="9472"/>
    <cellStyle name="Normal 49 28" xfId="5266"/>
    <cellStyle name="Normal 49 28 2" xfId="9565"/>
    <cellStyle name="Normal 49 29" xfId="5369"/>
    <cellStyle name="Normal 49 29 2" xfId="9656"/>
    <cellStyle name="Normal 49 3" xfId="1598"/>
    <cellStyle name="Normal 49 3 2" xfId="2893"/>
    <cellStyle name="Normal 49 3 2 2" xfId="7334"/>
    <cellStyle name="Normal 49 3 3" xfId="6482"/>
    <cellStyle name="Normal 49 30" xfId="5892"/>
    <cellStyle name="Normal 49 30 2" xfId="10082"/>
    <cellStyle name="Normal 49 31" xfId="5983"/>
    <cellStyle name="Normal 49 31 2" xfId="10169"/>
    <cellStyle name="Normal 49 32" xfId="6080"/>
    <cellStyle name="Normal 49 32 2" xfId="10258"/>
    <cellStyle name="Normal 49 33" xfId="6172"/>
    <cellStyle name="Normal 49 33 2" xfId="10346"/>
    <cellStyle name="Normal 49 34" xfId="1389"/>
    <cellStyle name="Normal 49 35" xfId="6301"/>
    <cellStyle name="Normal 49 4" xfId="1708"/>
    <cellStyle name="Normal 49 4 2" xfId="2983"/>
    <cellStyle name="Normal 49 4 2 2" xfId="7422"/>
    <cellStyle name="Normal 49 4 3" xfId="6571"/>
    <cellStyle name="Normal 49 5" xfId="1852"/>
    <cellStyle name="Normal 49 5 2" xfId="3078"/>
    <cellStyle name="Normal 49 5 2 2" xfId="7516"/>
    <cellStyle name="Normal 49 5 3" xfId="6663"/>
    <cellStyle name="Normal 49 6" xfId="2175"/>
    <cellStyle name="Normal 49 7" xfId="2354"/>
    <cellStyle name="Normal 49 7 2" xfId="3292"/>
    <cellStyle name="Normal 49 7 2 2" xfId="7714"/>
    <cellStyle name="Normal 49 7 3" xfId="6849"/>
    <cellStyle name="Normal 49 8" xfId="2444"/>
    <cellStyle name="Normal 49 8 2" xfId="3381"/>
    <cellStyle name="Normal 49 8 2 2" xfId="7803"/>
    <cellStyle name="Normal 49 8 3" xfId="6937"/>
    <cellStyle name="Normal 49 9" xfId="2545"/>
    <cellStyle name="Normal 49 9 2" xfId="3471"/>
    <cellStyle name="Normal 49 9 2 2" xfId="7893"/>
    <cellStyle name="Normal 49 9 3" xfId="7024"/>
    <cellStyle name="Normal 5" xfId="707"/>
    <cellStyle name="Normal 5 2" xfId="708"/>
    <cellStyle name="Normal 5 2 10" xfId="2712"/>
    <cellStyle name="Normal 5 2 10 2" xfId="7153"/>
    <cellStyle name="Normal 5 2 11" xfId="3644"/>
    <cellStyle name="Normal 5 2 11 2" xfId="8047"/>
    <cellStyle name="Normal 5 2 12" xfId="3742"/>
    <cellStyle name="Normal 5 2 12 2" xfId="8137"/>
    <cellStyle name="Normal 5 2 13" xfId="3844"/>
    <cellStyle name="Normal 5 2 13 2" xfId="8233"/>
    <cellStyle name="Normal 5 2 14" xfId="3939"/>
    <cellStyle name="Normal 5 2 14 2" xfId="8321"/>
    <cellStyle name="Normal 5 2 15" xfId="4032"/>
    <cellStyle name="Normal 5 2 15 2" xfId="8410"/>
    <cellStyle name="Normal 5 2 16" xfId="4127"/>
    <cellStyle name="Normal 5 2 16 2" xfId="8497"/>
    <cellStyle name="Normal 5 2 17" xfId="4230"/>
    <cellStyle name="Normal 5 2 17 2" xfId="8591"/>
    <cellStyle name="Normal 5 2 18" xfId="4324"/>
    <cellStyle name="Normal 5 2 18 2" xfId="8680"/>
    <cellStyle name="Normal 5 2 19" xfId="4416"/>
    <cellStyle name="Normal 5 2 19 2" xfId="8767"/>
    <cellStyle name="Normal 5 2 2" xfId="709"/>
    <cellStyle name="Normal 5 2 2 2" xfId="2178"/>
    <cellStyle name="Normal 5 2 2 3" xfId="2804"/>
    <cellStyle name="Normal 5 2 2 3 2" xfId="7245"/>
    <cellStyle name="Normal 5 2 2 4" xfId="1495"/>
    <cellStyle name="Normal 5 2 2 5" xfId="6393"/>
    <cellStyle name="Normal 5 2 20" xfId="4508"/>
    <cellStyle name="Normal 5 2 20 2" xfId="8855"/>
    <cellStyle name="Normal 5 2 21" xfId="4604"/>
    <cellStyle name="Normal 5 2 21 2" xfId="8944"/>
    <cellStyle name="Normal 5 2 22" xfId="4698"/>
    <cellStyle name="Normal 5 2 22 2" xfId="9032"/>
    <cellStyle name="Normal 5 2 23" xfId="4792"/>
    <cellStyle name="Normal 5 2 23 2" xfId="9121"/>
    <cellStyle name="Normal 5 2 24" xfId="4886"/>
    <cellStyle name="Normal 5 2 24 2" xfId="9209"/>
    <cellStyle name="Normal 5 2 25" xfId="4978"/>
    <cellStyle name="Normal 5 2 25 2" xfId="9298"/>
    <cellStyle name="Normal 5 2 26" xfId="5072"/>
    <cellStyle name="Normal 5 2 26 2" xfId="9386"/>
    <cellStyle name="Normal 5 2 27" xfId="5168"/>
    <cellStyle name="Normal 5 2 27 2" xfId="9473"/>
    <cellStyle name="Normal 5 2 28" xfId="5267"/>
    <cellStyle name="Normal 5 2 28 2" xfId="9566"/>
    <cellStyle name="Normal 5 2 29" xfId="5370"/>
    <cellStyle name="Normal 5 2 29 2" xfId="9657"/>
    <cellStyle name="Normal 5 2 3" xfId="1179"/>
    <cellStyle name="Normal 5 2 3 2" xfId="2894"/>
    <cellStyle name="Normal 5 2 3 2 2" xfId="7335"/>
    <cellStyle name="Normal 5 2 3 3" xfId="1599"/>
    <cellStyle name="Normal 5 2 3 4" xfId="6483"/>
    <cellStyle name="Normal 5 2 30" xfId="5893"/>
    <cellStyle name="Normal 5 2 30 2" xfId="10083"/>
    <cellStyle name="Normal 5 2 31" xfId="5984"/>
    <cellStyle name="Normal 5 2 31 2" xfId="10170"/>
    <cellStyle name="Normal 5 2 32" xfId="6081"/>
    <cellStyle name="Normal 5 2 32 2" xfId="10259"/>
    <cellStyle name="Normal 5 2 33" xfId="6173"/>
    <cellStyle name="Normal 5 2 33 2" xfId="10347"/>
    <cellStyle name="Normal 5 2 34" xfId="1391"/>
    <cellStyle name="Normal 5 2 35" xfId="6302"/>
    <cellStyle name="Normal 5 2 4" xfId="1709"/>
    <cellStyle name="Normal 5 2 4 2" xfId="2984"/>
    <cellStyle name="Normal 5 2 4 2 2" xfId="7423"/>
    <cellStyle name="Normal 5 2 4 3" xfId="6572"/>
    <cellStyle name="Normal 5 2 5" xfId="1854"/>
    <cellStyle name="Normal 5 2 5 2" xfId="3079"/>
    <cellStyle name="Normal 5 2 5 2 2" xfId="7517"/>
    <cellStyle name="Normal 5 2 5 3" xfId="6664"/>
    <cellStyle name="Normal 5 2 6" xfId="2177"/>
    <cellStyle name="Normal 5 2 7" xfId="2355"/>
    <cellStyle name="Normal 5 2 7 2" xfId="3293"/>
    <cellStyle name="Normal 5 2 7 2 2" xfId="7715"/>
    <cellStyle name="Normal 5 2 7 3" xfId="6850"/>
    <cellStyle name="Normal 5 2 8" xfId="2445"/>
    <cellStyle name="Normal 5 2 8 2" xfId="3382"/>
    <cellStyle name="Normal 5 2 8 2 2" xfId="7804"/>
    <cellStyle name="Normal 5 2 8 3" xfId="6938"/>
    <cellStyle name="Normal 5 2 9" xfId="2546"/>
    <cellStyle name="Normal 5 2 9 2" xfId="3472"/>
    <cellStyle name="Normal 5 2 9 2 2" xfId="7894"/>
    <cellStyle name="Normal 5 2 9 3" xfId="7025"/>
    <cellStyle name="Normal 5 3" xfId="710"/>
    <cellStyle name="Normal 5 3 2" xfId="711"/>
    <cellStyle name="Normal 5 3 3" xfId="2179"/>
    <cellStyle name="Normal 5 3 4" xfId="1390"/>
    <cellStyle name="Normal 5 4" xfId="712"/>
    <cellStyle name="Normal 5 4 2" xfId="2180"/>
    <cellStyle name="Normal 5 4 3" xfId="1922"/>
    <cellStyle name="Normal 5 5" xfId="937"/>
    <cellStyle name="Normal 5 6" xfId="1037"/>
    <cellStyle name="Normal 5 7" xfId="11003"/>
    <cellStyle name="Normal 50" xfId="713"/>
    <cellStyle name="Normal 50 10" xfId="2713"/>
    <cellStyle name="Normal 50 10 2" xfId="7154"/>
    <cellStyle name="Normal 50 11" xfId="3645"/>
    <cellStyle name="Normal 50 11 2" xfId="8048"/>
    <cellStyle name="Normal 50 12" xfId="3743"/>
    <cellStyle name="Normal 50 12 2" xfId="8138"/>
    <cellStyle name="Normal 50 13" xfId="3845"/>
    <cellStyle name="Normal 50 13 2" xfId="8234"/>
    <cellStyle name="Normal 50 14" xfId="3940"/>
    <cellStyle name="Normal 50 14 2" xfId="8322"/>
    <cellStyle name="Normal 50 15" xfId="4033"/>
    <cellStyle name="Normal 50 15 2" xfId="8411"/>
    <cellStyle name="Normal 50 16" xfId="4128"/>
    <cellStyle name="Normal 50 16 2" xfId="8498"/>
    <cellStyle name="Normal 50 17" xfId="4231"/>
    <cellStyle name="Normal 50 17 2" xfId="8592"/>
    <cellStyle name="Normal 50 18" xfId="4325"/>
    <cellStyle name="Normal 50 18 2" xfId="8681"/>
    <cellStyle name="Normal 50 19" xfId="4417"/>
    <cellStyle name="Normal 50 19 2" xfId="8768"/>
    <cellStyle name="Normal 50 2" xfId="1496"/>
    <cellStyle name="Normal 50 2 2" xfId="2805"/>
    <cellStyle name="Normal 50 2 2 2" xfId="7246"/>
    <cellStyle name="Normal 50 2 3" xfId="6394"/>
    <cellStyle name="Normal 50 20" xfId="4509"/>
    <cellStyle name="Normal 50 20 2" xfId="8856"/>
    <cellStyle name="Normal 50 21" xfId="4605"/>
    <cellStyle name="Normal 50 21 2" xfId="8945"/>
    <cellStyle name="Normal 50 22" xfId="4699"/>
    <cellStyle name="Normal 50 22 2" xfId="9033"/>
    <cellStyle name="Normal 50 23" xfId="4793"/>
    <cellStyle name="Normal 50 23 2" xfId="9122"/>
    <cellStyle name="Normal 50 24" xfId="4887"/>
    <cellStyle name="Normal 50 24 2" xfId="9210"/>
    <cellStyle name="Normal 50 25" xfId="4979"/>
    <cellStyle name="Normal 50 25 2" xfId="9299"/>
    <cellStyle name="Normal 50 26" xfId="5073"/>
    <cellStyle name="Normal 50 26 2" xfId="9387"/>
    <cellStyle name="Normal 50 27" xfId="5169"/>
    <cellStyle name="Normal 50 27 2" xfId="9474"/>
    <cellStyle name="Normal 50 28" xfId="5268"/>
    <cellStyle name="Normal 50 28 2" xfId="9567"/>
    <cellStyle name="Normal 50 29" xfId="5371"/>
    <cellStyle name="Normal 50 29 2" xfId="9658"/>
    <cellStyle name="Normal 50 3" xfId="1600"/>
    <cellStyle name="Normal 50 3 2" xfId="2895"/>
    <cellStyle name="Normal 50 3 2 2" xfId="7336"/>
    <cellStyle name="Normal 50 3 3" xfId="6484"/>
    <cellStyle name="Normal 50 30" xfId="5894"/>
    <cellStyle name="Normal 50 30 2" xfId="10084"/>
    <cellStyle name="Normal 50 31" xfId="5985"/>
    <cellStyle name="Normal 50 31 2" xfId="10171"/>
    <cellStyle name="Normal 50 32" xfId="6082"/>
    <cellStyle name="Normal 50 32 2" xfId="10260"/>
    <cellStyle name="Normal 50 33" xfId="6174"/>
    <cellStyle name="Normal 50 33 2" xfId="10348"/>
    <cellStyle name="Normal 50 34" xfId="1392"/>
    <cellStyle name="Normal 50 35" xfId="6303"/>
    <cellStyle name="Normal 50 4" xfId="1710"/>
    <cellStyle name="Normal 50 4 2" xfId="2985"/>
    <cellStyle name="Normal 50 4 2 2" xfId="7424"/>
    <cellStyle name="Normal 50 4 3" xfId="6573"/>
    <cellStyle name="Normal 50 5" xfId="1855"/>
    <cellStyle name="Normal 50 5 2" xfId="3080"/>
    <cellStyle name="Normal 50 5 2 2" xfId="7518"/>
    <cellStyle name="Normal 50 5 3" xfId="6665"/>
    <cellStyle name="Normal 50 6" xfId="2181"/>
    <cellStyle name="Normal 50 7" xfId="2356"/>
    <cellStyle name="Normal 50 7 2" xfId="3294"/>
    <cellStyle name="Normal 50 7 2 2" xfId="7716"/>
    <cellStyle name="Normal 50 7 3" xfId="6851"/>
    <cellStyle name="Normal 50 8" xfId="2446"/>
    <cellStyle name="Normal 50 8 2" xfId="3383"/>
    <cellStyle name="Normal 50 8 2 2" xfId="7805"/>
    <cellStyle name="Normal 50 8 3" xfId="6939"/>
    <cellStyle name="Normal 50 9" xfId="2547"/>
    <cellStyle name="Normal 50 9 2" xfId="3473"/>
    <cellStyle name="Normal 50 9 2 2" xfId="7895"/>
    <cellStyle name="Normal 50 9 3" xfId="7026"/>
    <cellStyle name="Normal 51" xfId="714"/>
    <cellStyle name="Normal 51 10" xfId="2714"/>
    <cellStyle name="Normal 51 10 2" xfId="7155"/>
    <cellStyle name="Normal 51 11" xfId="3646"/>
    <cellStyle name="Normal 51 11 2" xfId="8049"/>
    <cellStyle name="Normal 51 12" xfId="3744"/>
    <cellStyle name="Normal 51 12 2" xfId="8139"/>
    <cellStyle name="Normal 51 13" xfId="3846"/>
    <cellStyle name="Normal 51 13 2" xfId="8235"/>
    <cellStyle name="Normal 51 14" xfId="3941"/>
    <cellStyle name="Normal 51 14 2" xfId="8323"/>
    <cellStyle name="Normal 51 15" xfId="4034"/>
    <cellStyle name="Normal 51 15 2" xfId="8412"/>
    <cellStyle name="Normal 51 16" xfId="4129"/>
    <cellStyle name="Normal 51 16 2" xfId="8499"/>
    <cellStyle name="Normal 51 17" xfId="4232"/>
    <cellStyle name="Normal 51 17 2" xfId="8593"/>
    <cellStyle name="Normal 51 18" xfId="4326"/>
    <cellStyle name="Normal 51 18 2" xfId="8682"/>
    <cellStyle name="Normal 51 19" xfId="4418"/>
    <cellStyle name="Normal 51 19 2" xfId="8769"/>
    <cellStyle name="Normal 51 2" xfId="1497"/>
    <cellStyle name="Normal 51 2 2" xfId="2806"/>
    <cellStyle name="Normal 51 2 2 2" xfId="7247"/>
    <cellStyle name="Normal 51 2 3" xfId="6395"/>
    <cellStyle name="Normal 51 20" xfId="4510"/>
    <cellStyle name="Normal 51 20 2" xfId="8857"/>
    <cellStyle name="Normal 51 21" xfId="4606"/>
    <cellStyle name="Normal 51 21 2" xfId="8946"/>
    <cellStyle name="Normal 51 22" xfId="4700"/>
    <cellStyle name="Normal 51 22 2" xfId="9034"/>
    <cellStyle name="Normal 51 23" xfId="4794"/>
    <cellStyle name="Normal 51 23 2" xfId="9123"/>
    <cellStyle name="Normal 51 24" xfId="4888"/>
    <cellStyle name="Normal 51 24 2" xfId="9211"/>
    <cellStyle name="Normal 51 25" xfId="4980"/>
    <cellStyle name="Normal 51 25 2" xfId="9300"/>
    <cellStyle name="Normal 51 26" xfId="5074"/>
    <cellStyle name="Normal 51 26 2" xfId="9388"/>
    <cellStyle name="Normal 51 27" xfId="5170"/>
    <cellStyle name="Normal 51 27 2" xfId="9475"/>
    <cellStyle name="Normal 51 28" xfId="5269"/>
    <cellStyle name="Normal 51 28 2" xfId="9568"/>
    <cellStyle name="Normal 51 29" xfId="5372"/>
    <cellStyle name="Normal 51 29 2" xfId="9659"/>
    <cellStyle name="Normal 51 3" xfId="1601"/>
    <cellStyle name="Normal 51 3 2" xfId="2896"/>
    <cellStyle name="Normal 51 3 2 2" xfId="7337"/>
    <cellStyle name="Normal 51 3 3" xfId="6485"/>
    <cellStyle name="Normal 51 30" xfId="5895"/>
    <cellStyle name="Normal 51 30 2" xfId="10085"/>
    <cellStyle name="Normal 51 31" xfId="5986"/>
    <cellStyle name="Normal 51 31 2" xfId="10172"/>
    <cellStyle name="Normal 51 32" xfId="6083"/>
    <cellStyle name="Normal 51 32 2" xfId="10261"/>
    <cellStyle name="Normal 51 33" xfId="6175"/>
    <cellStyle name="Normal 51 33 2" xfId="10349"/>
    <cellStyle name="Normal 51 34" xfId="1393"/>
    <cellStyle name="Normal 51 35" xfId="6304"/>
    <cellStyle name="Normal 51 4" xfId="1711"/>
    <cellStyle name="Normal 51 4 2" xfId="2986"/>
    <cellStyle name="Normal 51 4 2 2" xfId="7425"/>
    <cellStyle name="Normal 51 4 3" xfId="6574"/>
    <cellStyle name="Normal 51 5" xfId="1856"/>
    <cellStyle name="Normal 51 5 2" xfId="3081"/>
    <cellStyle name="Normal 51 5 2 2" xfId="7519"/>
    <cellStyle name="Normal 51 5 3" xfId="6666"/>
    <cellStyle name="Normal 51 6" xfId="2182"/>
    <cellStyle name="Normal 51 7" xfId="2357"/>
    <cellStyle name="Normal 51 7 2" xfId="3295"/>
    <cellStyle name="Normal 51 7 2 2" xfId="7717"/>
    <cellStyle name="Normal 51 7 3" xfId="6852"/>
    <cellStyle name="Normal 51 8" xfId="2447"/>
    <cellStyle name="Normal 51 8 2" xfId="3384"/>
    <cellStyle name="Normal 51 8 2 2" xfId="7806"/>
    <cellStyle name="Normal 51 8 3" xfId="6940"/>
    <cellStyle name="Normal 51 9" xfId="2548"/>
    <cellStyle name="Normal 51 9 2" xfId="3474"/>
    <cellStyle name="Normal 51 9 2 2" xfId="7896"/>
    <cellStyle name="Normal 51 9 3" xfId="7027"/>
    <cellStyle name="Normal 52" xfId="715"/>
    <cellStyle name="Normal 52 10" xfId="2715"/>
    <cellStyle name="Normal 52 10 2" xfId="7156"/>
    <cellStyle name="Normal 52 11" xfId="3647"/>
    <cellStyle name="Normal 52 11 2" xfId="8050"/>
    <cellStyle name="Normal 52 12" xfId="3745"/>
    <cellStyle name="Normal 52 12 2" xfId="8140"/>
    <cellStyle name="Normal 52 13" xfId="3847"/>
    <cellStyle name="Normal 52 13 2" xfId="8236"/>
    <cellStyle name="Normal 52 14" xfId="3942"/>
    <cellStyle name="Normal 52 14 2" xfId="8324"/>
    <cellStyle name="Normal 52 15" xfId="4035"/>
    <cellStyle name="Normal 52 15 2" xfId="8413"/>
    <cellStyle name="Normal 52 16" xfId="4130"/>
    <cellStyle name="Normal 52 16 2" xfId="8500"/>
    <cellStyle name="Normal 52 17" xfId="4233"/>
    <cellStyle name="Normal 52 17 2" xfId="8594"/>
    <cellStyle name="Normal 52 18" xfId="4327"/>
    <cellStyle name="Normal 52 18 2" xfId="8683"/>
    <cellStyle name="Normal 52 19" xfId="4419"/>
    <cellStyle name="Normal 52 19 2" xfId="8770"/>
    <cellStyle name="Normal 52 2" xfId="1498"/>
    <cellStyle name="Normal 52 2 2" xfId="2807"/>
    <cellStyle name="Normal 52 2 2 2" xfId="7248"/>
    <cellStyle name="Normal 52 2 3" xfId="6396"/>
    <cellStyle name="Normal 52 20" xfId="4511"/>
    <cellStyle name="Normal 52 20 2" xfId="8858"/>
    <cellStyle name="Normal 52 21" xfId="4607"/>
    <cellStyle name="Normal 52 21 2" xfId="8947"/>
    <cellStyle name="Normal 52 22" xfId="4701"/>
    <cellStyle name="Normal 52 22 2" xfId="9035"/>
    <cellStyle name="Normal 52 23" xfId="4795"/>
    <cellStyle name="Normal 52 23 2" xfId="9124"/>
    <cellStyle name="Normal 52 24" xfId="4889"/>
    <cellStyle name="Normal 52 24 2" xfId="9212"/>
    <cellStyle name="Normal 52 25" xfId="4981"/>
    <cellStyle name="Normal 52 25 2" xfId="9301"/>
    <cellStyle name="Normal 52 26" xfId="5075"/>
    <cellStyle name="Normal 52 26 2" xfId="9389"/>
    <cellStyle name="Normal 52 27" xfId="5171"/>
    <cellStyle name="Normal 52 27 2" xfId="9476"/>
    <cellStyle name="Normal 52 28" xfId="5270"/>
    <cellStyle name="Normal 52 28 2" xfId="9569"/>
    <cellStyle name="Normal 52 29" xfId="5373"/>
    <cellStyle name="Normal 52 29 2" xfId="9660"/>
    <cellStyle name="Normal 52 3" xfId="1602"/>
    <cellStyle name="Normal 52 3 2" xfId="2897"/>
    <cellStyle name="Normal 52 3 2 2" xfId="7338"/>
    <cellStyle name="Normal 52 3 3" xfId="6486"/>
    <cellStyle name="Normal 52 30" xfId="5896"/>
    <cellStyle name="Normal 52 30 2" xfId="10086"/>
    <cellStyle name="Normal 52 31" xfId="5987"/>
    <cellStyle name="Normal 52 31 2" xfId="10173"/>
    <cellStyle name="Normal 52 32" xfId="6084"/>
    <cellStyle name="Normal 52 32 2" xfId="10262"/>
    <cellStyle name="Normal 52 33" xfId="6176"/>
    <cellStyle name="Normal 52 33 2" xfId="10350"/>
    <cellStyle name="Normal 52 34" xfId="1394"/>
    <cellStyle name="Normal 52 35" xfId="6305"/>
    <cellStyle name="Normal 52 4" xfId="1712"/>
    <cellStyle name="Normal 52 4 2" xfId="2987"/>
    <cellStyle name="Normal 52 4 2 2" xfId="7426"/>
    <cellStyle name="Normal 52 4 3" xfId="6575"/>
    <cellStyle name="Normal 52 5" xfId="1857"/>
    <cellStyle name="Normal 52 5 2" xfId="3082"/>
    <cellStyle name="Normal 52 5 2 2" xfId="7520"/>
    <cellStyle name="Normal 52 5 3" xfId="6667"/>
    <cellStyle name="Normal 52 6" xfId="2183"/>
    <cellStyle name="Normal 52 7" xfId="2358"/>
    <cellStyle name="Normal 52 7 2" xfId="3296"/>
    <cellStyle name="Normal 52 7 2 2" xfId="7718"/>
    <cellStyle name="Normal 52 7 3" xfId="6853"/>
    <cellStyle name="Normal 52 8" xfId="2448"/>
    <cellStyle name="Normal 52 8 2" xfId="3385"/>
    <cellStyle name="Normal 52 8 2 2" xfId="7807"/>
    <cellStyle name="Normal 52 8 3" xfId="6941"/>
    <cellStyle name="Normal 52 9" xfId="2549"/>
    <cellStyle name="Normal 52 9 2" xfId="3475"/>
    <cellStyle name="Normal 52 9 2 2" xfId="7897"/>
    <cellStyle name="Normal 52 9 3" xfId="7028"/>
    <cellStyle name="Normal 53" xfId="716"/>
    <cellStyle name="Normal 53 10" xfId="2716"/>
    <cellStyle name="Normal 53 10 2" xfId="7157"/>
    <cellStyle name="Normal 53 11" xfId="3648"/>
    <cellStyle name="Normal 53 11 2" xfId="8051"/>
    <cellStyle name="Normal 53 12" xfId="3746"/>
    <cellStyle name="Normal 53 12 2" xfId="8141"/>
    <cellStyle name="Normal 53 13" xfId="3848"/>
    <cellStyle name="Normal 53 13 2" xfId="8237"/>
    <cellStyle name="Normal 53 14" xfId="3943"/>
    <cellStyle name="Normal 53 14 2" xfId="8325"/>
    <cellStyle name="Normal 53 15" xfId="4036"/>
    <cellStyle name="Normal 53 15 2" xfId="8414"/>
    <cellStyle name="Normal 53 16" xfId="4131"/>
    <cellStyle name="Normal 53 16 2" xfId="8501"/>
    <cellStyle name="Normal 53 17" xfId="4234"/>
    <cellStyle name="Normal 53 17 2" xfId="8595"/>
    <cellStyle name="Normal 53 18" xfId="4328"/>
    <cellStyle name="Normal 53 18 2" xfId="8684"/>
    <cellStyle name="Normal 53 19" xfId="4420"/>
    <cellStyle name="Normal 53 19 2" xfId="8771"/>
    <cellStyle name="Normal 53 2" xfId="1499"/>
    <cellStyle name="Normal 53 2 2" xfId="2808"/>
    <cellStyle name="Normal 53 2 2 2" xfId="7249"/>
    <cellStyle name="Normal 53 2 3" xfId="6397"/>
    <cellStyle name="Normal 53 20" xfId="4512"/>
    <cellStyle name="Normal 53 20 2" xfId="8859"/>
    <cellStyle name="Normal 53 21" xfId="4608"/>
    <cellStyle name="Normal 53 21 2" xfId="8948"/>
    <cellStyle name="Normal 53 22" xfId="4702"/>
    <cellStyle name="Normal 53 22 2" xfId="9036"/>
    <cellStyle name="Normal 53 23" xfId="4796"/>
    <cellStyle name="Normal 53 23 2" xfId="9125"/>
    <cellStyle name="Normal 53 24" xfId="4890"/>
    <cellStyle name="Normal 53 24 2" xfId="9213"/>
    <cellStyle name="Normal 53 25" xfId="4982"/>
    <cellStyle name="Normal 53 25 2" xfId="9302"/>
    <cellStyle name="Normal 53 26" xfId="5076"/>
    <cellStyle name="Normal 53 26 2" xfId="9390"/>
    <cellStyle name="Normal 53 27" xfId="5172"/>
    <cellStyle name="Normal 53 27 2" xfId="9477"/>
    <cellStyle name="Normal 53 28" xfId="5271"/>
    <cellStyle name="Normal 53 28 2" xfId="9570"/>
    <cellStyle name="Normal 53 29" xfId="5374"/>
    <cellStyle name="Normal 53 29 2" xfId="9661"/>
    <cellStyle name="Normal 53 3" xfId="1603"/>
    <cellStyle name="Normal 53 3 2" xfId="2898"/>
    <cellStyle name="Normal 53 3 2 2" xfId="7339"/>
    <cellStyle name="Normal 53 3 3" xfId="6487"/>
    <cellStyle name="Normal 53 30" xfId="5897"/>
    <cellStyle name="Normal 53 30 2" xfId="10087"/>
    <cellStyle name="Normal 53 31" xfId="5988"/>
    <cellStyle name="Normal 53 31 2" xfId="10174"/>
    <cellStyle name="Normal 53 32" xfId="6085"/>
    <cellStyle name="Normal 53 32 2" xfId="10263"/>
    <cellStyle name="Normal 53 33" xfId="6177"/>
    <cellStyle name="Normal 53 33 2" xfId="10351"/>
    <cellStyle name="Normal 53 34" xfId="1395"/>
    <cellStyle name="Normal 53 35" xfId="6306"/>
    <cellStyle name="Normal 53 4" xfId="1713"/>
    <cellStyle name="Normal 53 4 2" xfId="2988"/>
    <cellStyle name="Normal 53 4 2 2" xfId="7427"/>
    <cellStyle name="Normal 53 4 3" xfId="6576"/>
    <cellStyle name="Normal 53 5" xfId="1858"/>
    <cellStyle name="Normal 53 5 2" xfId="3083"/>
    <cellStyle name="Normal 53 5 2 2" xfId="7521"/>
    <cellStyle name="Normal 53 5 3" xfId="6668"/>
    <cellStyle name="Normal 53 6" xfId="2184"/>
    <cellStyle name="Normal 53 7" xfId="2359"/>
    <cellStyle name="Normal 53 7 2" xfId="3297"/>
    <cellStyle name="Normal 53 7 2 2" xfId="7719"/>
    <cellStyle name="Normal 53 7 3" xfId="6854"/>
    <cellStyle name="Normal 53 8" xfId="2449"/>
    <cellStyle name="Normal 53 8 2" xfId="3386"/>
    <cellStyle name="Normal 53 8 2 2" xfId="7808"/>
    <cellStyle name="Normal 53 8 3" xfId="6942"/>
    <cellStyle name="Normal 53 9" xfId="2550"/>
    <cellStyle name="Normal 53 9 2" xfId="3476"/>
    <cellStyle name="Normal 53 9 2 2" xfId="7898"/>
    <cellStyle name="Normal 53 9 3" xfId="7029"/>
    <cellStyle name="Normal 54" xfId="717"/>
    <cellStyle name="Normal 54 10" xfId="2717"/>
    <cellStyle name="Normal 54 10 2" xfId="7158"/>
    <cellStyle name="Normal 54 11" xfId="3649"/>
    <cellStyle name="Normal 54 11 2" xfId="8052"/>
    <cellStyle name="Normal 54 12" xfId="3747"/>
    <cellStyle name="Normal 54 12 2" xfId="8142"/>
    <cellStyle name="Normal 54 13" xfId="3849"/>
    <cellStyle name="Normal 54 13 2" xfId="8238"/>
    <cellStyle name="Normal 54 14" xfId="3944"/>
    <cellStyle name="Normal 54 14 2" xfId="8326"/>
    <cellStyle name="Normal 54 15" xfId="4037"/>
    <cellStyle name="Normal 54 15 2" xfId="8415"/>
    <cellStyle name="Normal 54 16" xfId="4132"/>
    <cellStyle name="Normal 54 16 2" xfId="8502"/>
    <cellStyle name="Normal 54 17" xfId="4235"/>
    <cellStyle name="Normal 54 17 2" xfId="8596"/>
    <cellStyle name="Normal 54 18" xfId="4329"/>
    <cellStyle name="Normal 54 18 2" xfId="8685"/>
    <cellStyle name="Normal 54 19" xfId="4421"/>
    <cellStyle name="Normal 54 19 2" xfId="8772"/>
    <cellStyle name="Normal 54 2" xfId="1500"/>
    <cellStyle name="Normal 54 2 2" xfId="2809"/>
    <cellStyle name="Normal 54 2 2 2" xfId="7250"/>
    <cellStyle name="Normal 54 2 3" xfId="6398"/>
    <cellStyle name="Normal 54 20" xfId="4513"/>
    <cellStyle name="Normal 54 20 2" xfId="8860"/>
    <cellStyle name="Normal 54 21" xfId="4609"/>
    <cellStyle name="Normal 54 21 2" xfId="8949"/>
    <cellStyle name="Normal 54 22" xfId="4703"/>
    <cellStyle name="Normal 54 22 2" xfId="9037"/>
    <cellStyle name="Normal 54 23" xfId="4797"/>
    <cellStyle name="Normal 54 23 2" xfId="9126"/>
    <cellStyle name="Normal 54 24" xfId="4891"/>
    <cellStyle name="Normal 54 24 2" xfId="9214"/>
    <cellStyle name="Normal 54 25" xfId="4983"/>
    <cellStyle name="Normal 54 25 2" xfId="9303"/>
    <cellStyle name="Normal 54 26" xfId="5077"/>
    <cellStyle name="Normal 54 26 2" xfId="9391"/>
    <cellStyle name="Normal 54 27" xfId="5173"/>
    <cellStyle name="Normal 54 27 2" xfId="9478"/>
    <cellStyle name="Normal 54 28" xfId="5272"/>
    <cellStyle name="Normal 54 28 2" xfId="9571"/>
    <cellStyle name="Normal 54 29" xfId="5375"/>
    <cellStyle name="Normal 54 29 2" xfId="9662"/>
    <cellStyle name="Normal 54 3" xfId="1604"/>
    <cellStyle name="Normal 54 3 2" xfId="2899"/>
    <cellStyle name="Normal 54 3 2 2" xfId="7340"/>
    <cellStyle name="Normal 54 3 3" xfId="6488"/>
    <cellStyle name="Normal 54 30" xfId="5898"/>
    <cellStyle name="Normal 54 30 2" xfId="10088"/>
    <cellStyle name="Normal 54 31" xfId="5989"/>
    <cellStyle name="Normal 54 31 2" xfId="10175"/>
    <cellStyle name="Normal 54 32" xfId="6086"/>
    <cellStyle name="Normal 54 32 2" xfId="10264"/>
    <cellStyle name="Normal 54 33" xfId="6178"/>
    <cellStyle name="Normal 54 33 2" xfId="10352"/>
    <cellStyle name="Normal 54 34" xfId="1396"/>
    <cellStyle name="Normal 54 35" xfId="6307"/>
    <cellStyle name="Normal 54 4" xfId="1714"/>
    <cellStyle name="Normal 54 4 2" xfId="2989"/>
    <cellStyle name="Normal 54 4 2 2" xfId="7428"/>
    <cellStyle name="Normal 54 4 3" xfId="6577"/>
    <cellStyle name="Normal 54 5" xfId="1859"/>
    <cellStyle name="Normal 54 5 2" xfId="3084"/>
    <cellStyle name="Normal 54 5 2 2" xfId="7522"/>
    <cellStyle name="Normal 54 5 3" xfId="6669"/>
    <cellStyle name="Normal 54 6" xfId="2185"/>
    <cellStyle name="Normal 54 7" xfId="2360"/>
    <cellStyle name="Normal 54 7 2" xfId="3298"/>
    <cellStyle name="Normal 54 7 2 2" xfId="7720"/>
    <cellStyle name="Normal 54 7 3" xfId="6855"/>
    <cellStyle name="Normal 54 8" xfId="2450"/>
    <cellStyle name="Normal 54 8 2" xfId="3387"/>
    <cellStyle name="Normal 54 8 2 2" xfId="7809"/>
    <cellStyle name="Normal 54 8 3" xfId="6943"/>
    <cellStyle name="Normal 54 9" xfId="2551"/>
    <cellStyle name="Normal 54 9 2" xfId="3477"/>
    <cellStyle name="Normal 54 9 2 2" xfId="7899"/>
    <cellStyle name="Normal 54 9 3" xfId="7030"/>
    <cellStyle name="Normal 55" xfId="718"/>
    <cellStyle name="Normal 55 10" xfId="2718"/>
    <cellStyle name="Normal 55 10 2" xfId="7159"/>
    <cellStyle name="Normal 55 11" xfId="3650"/>
    <cellStyle name="Normal 55 11 2" xfId="8053"/>
    <cellStyle name="Normal 55 12" xfId="3748"/>
    <cellStyle name="Normal 55 12 2" xfId="8143"/>
    <cellStyle name="Normal 55 13" xfId="3850"/>
    <cellStyle name="Normal 55 13 2" xfId="8239"/>
    <cellStyle name="Normal 55 14" xfId="3945"/>
    <cellStyle name="Normal 55 14 2" xfId="8327"/>
    <cellStyle name="Normal 55 15" xfId="4038"/>
    <cellStyle name="Normal 55 15 2" xfId="8416"/>
    <cellStyle name="Normal 55 16" xfId="4133"/>
    <cellStyle name="Normal 55 16 2" xfId="8503"/>
    <cellStyle name="Normal 55 17" xfId="4236"/>
    <cellStyle name="Normal 55 17 2" xfId="8597"/>
    <cellStyle name="Normal 55 18" xfId="4330"/>
    <cellStyle name="Normal 55 18 2" xfId="8686"/>
    <cellStyle name="Normal 55 19" xfId="4422"/>
    <cellStyle name="Normal 55 19 2" xfId="8773"/>
    <cellStyle name="Normal 55 2" xfId="1501"/>
    <cellStyle name="Normal 55 2 2" xfId="2810"/>
    <cellStyle name="Normal 55 2 2 2" xfId="7251"/>
    <cellStyle name="Normal 55 2 3" xfId="6399"/>
    <cellStyle name="Normal 55 20" xfId="4514"/>
    <cellStyle name="Normal 55 20 2" xfId="8861"/>
    <cellStyle name="Normal 55 21" xfId="4610"/>
    <cellStyle name="Normal 55 21 2" xfId="8950"/>
    <cellStyle name="Normal 55 22" xfId="4704"/>
    <cellStyle name="Normal 55 22 2" xfId="9038"/>
    <cellStyle name="Normal 55 23" xfId="4798"/>
    <cellStyle name="Normal 55 23 2" xfId="9127"/>
    <cellStyle name="Normal 55 24" xfId="4892"/>
    <cellStyle name="Normal 55 24 2" xfId="9215"/>
    <cellStyle name="Normal 55 25" xfId="4984"/>
    <cellStyle name="Normal 55 25 2" xfId="9304"/>
    <cellStyle name="Normal 55 26" xfId="5078"/>
    <cellStyle name="Normal 55 26 2" xfId="9392"/>
    <cellStyle name="Normal 55 27" xfId="5174"/>
    <cellStyle name="Normal 55 27 2" xfId="9479"/>
    <cellStyle name="Normal 55 28" xfId="5273"/>
    <cellStyle name="Normal 55 28 2" xfId="9572"/>
    <cellStyle name="Normal 55 29" xfId="5376"/>
    <cellStyle name="Normal 55 29 2" xfId="9663"/>
    <cellStyle name="Normal 55 3" xfId="1605"/>
    <cellStyle name="Normal 55 3 2" xfId="2900"/>
    <cellStyle name="Normal 55 3 2 2" xfId="7341"/>
    <cellStyle name="Normal 55 3 3" xfId="6489"/>
    <cellStyle name="Normal 55 30" xfId="5899"/>
    <cellStyle name="Normal 55 30 2" xfId="10089"/>
    <cellStyle name="Normal 55 31" xfId="5990"/>
    <cellStyle name="Normal 55 31 2" xfId="10176"/>
    <cellStyle name="Normal 55 32" xfId="6087"/>
    <cellStyle name="Normal 55 32 2" xfId="10265"/>
    <cellStyle name="Normal 55 33" xfId="6179"/>
    <cellStyle name="Normal 55 33 2" xfId="10353"/>
    <cellStyle name="Normal 55 34" xfId="1397"/>
    <cellStyle name="Normal 55 35" xfId="6308"/>
    <cellStyle name="Normal 55 4" xfId="1715"/>
    <cellStyle name="Normal 55 4 2" xfId="2990"/>
    <cellStyle name="Normal 55 4 2 2" xfId="7429"/>
    <cellStyle name="Normal 55 4 3" xfId="6578"/>
    <cellStyle name="Normal 55 5" xfId="1860"/>
    <cellStyle name="Normal 55 5 2" xfId="3085"/>
    <cellStyle name="Normal 55 5 2 2" xfId="7523"/>
    <cellStyle name="Normal 55 5 3" xfId="6670"/>
    <cellStyle name="Normal 55 6" xfId="2186"/>
    <cellStyle name="Normal 55 7" xfId="2361"/>
    <cellStyle name="Normal 55 7 2" xfId="3299"/>
    <cellStyle name="Normal 55 7 2 2" xfId="7721"/>
    <cellStyle name="Normal 55 7 3" xfId="6856"/>
    <cellStyle name="Normal 55 8" xfId="2451"/>
    <cellStyle name="Normal 55 8 2" xfId="3388"/>
    <cellStyle name="Normal 55 8 2 2" xfId="7810"/>
    <cellStyle name="Normal 55 8 3" xfId="6944"/>
    <cellStyle name="Normal 55 9" xfId="2552"/>
    <cellStyle name="Normal 55 9 2" xfId="3478"/>
    <cellStyle name="Normal 55 9 2 2" xfId="7900"/>
    <cellStyle name="Normal 55 9 3" xfId="7031"/>
    <cellStyle name="Normal 56" xfId="719"/>
    <cellStyle name="Normal 56 10" xfId="2719"/>
    <cellStyle name="Normal 56 10 2" xfId="7160"/>
    <cellStyle name="Normal 56 11" xfId="3651"/>
    <cellStyle name="Normal 56 11 2" xfId="8054"/>
    <cellStyle name="Normal 56 12" xfId="3749"/>
    <cellStyle name="Normal 56 12 2" xfId="8144"/>
    <cellStyle name="Normal 56 13" xfId="3851"/>
    <cellStyle name="Normal 56 13 2" xfId="8240"/>
    <cellStyle name="Normal 56 14" xfId="3946"/>
    <cellStyle name="Normal 56 14 2" xfId="8328"/>
    <cellStyle name="Normal 56 15" xfId="4039"/>
    <cellStyle name="Normal 56 15 2" xfId="8417"/>
    <cellStyle name="Normal 56 16" xfId="4134"/>
    <cellStyle name="Normal 56 16 2" xfId="8504"/>
    <cellStyle name="Normal 56 17" xfId="4237"/>
    <cellStyle name="Normal 56 17 2" xfId="8598"/>
    <cellStyle name="Normal 56 18" xfId="4331"/>
    <cellStyle name="Normal 56 18 2" xfId="8687"/>
    <cellStyle name="Normal 56 19" xfId="4423"/>
    <cellStyle name="Normal 56 19 2" xfId="8774"/>
    <cellStyle name="Normal 56 2" xfId="1502"/>
    <cellStyle name="Normal 56 2 2" xfId="2811"/>
    <cellStyle name="Normal 56 2 2 2" xfId="7252"/>
    <cellStyle name="Normal 56 2 3" xfId="6400"/>
    <cellStyle name="Normal 56 20" xfId="4515"/>
    <cellStyle name="Normal 56 20 2" xfId="8862"/>
    <cellStyle name="Normal 56 21" xfId="4611"/>
    <cellStyle name="Normal 56 21 2" xfId="8951"/>
    <cellStyle name="Normal 56 22" xfId="4705"/>
    <cellStyle name="Normal 56 22 2" xfId="9039"/>
    <cellStyle name="Normal 56 23" xfId="4799"/>
    <cellStyle name="Normal 56 23 2" xfId="9128"/>
    <cellStyle name="Normal 56 24" xfId="4893"/>
    <cellStyle name="Normal 56 24 2" xfId="9216"/>
    <cellStyle name="Normal 56 25" xfId="4985"/>
    <cellStyle name="Normal 56 25 2" xfId="9305"/>
    <cellStyle name="Normal 56 26" xfId="5079"/>
    <cellStyle name="Normal 56 26 2" xfId="9393"/>
    <cellStyle name="Normal 56 27" xfId="5175"/>
    <cellStyle name="Normal 56 27 2" xfId="9480"/>
    <cellStyle name="Normal 56 28" xfId="5274"/>
    <cellStyle name="Normal 56 28 2" xfId="9573"/>
    <cellStyle name="Normal 56 29" xfId="5377"/>
    <cellStyle name="Normal 56 29 2" xfId="9664"/>
    <cellStyle name="Normal 56 3" xfId="1606"/>
    <cellStyle name="Normal 56 3 2" xfId="2901"/>
    <cellStyle name="Normal 56 3 2 2" xfId="7342"/>
    <cellStyle name="Normal 56 3 3" xfId="6490"/>
    <cellStyle name="Normal 56 30" xfId="5900"/>
    <cellStyle name="Normal 56 30 2" xfId="10090"/>
    <cellStyle name="Normal 56 31" xfId="5991"/>
    <cellStyle name="Normal 56 31 2" xfId="10177"/>
    <cellStyle name="Normal 56 32" xfId="6088"/>
    <cellStyle name="Normal 56 32 2" xfId="10266"/>
    <cellStyle name="Normal 56 33" xfId="6180"/>
    <cellStyle name="Normal 56 33 2" xfId="10354"/>
    <cellStyle name="Normal 56 34" xfId="1398"/>
    <cellStyle name="Normal 56 35" xfId="6309"/>
    <cellStyle name="Normal 56 4" xfId="1716"/>
    <cellStyle name="Normal 56 4 2" xfId="2991"/>
    <cellStyle name="Normal 56 4 2 2" xfId="7430"/>
    <cellStyle name="Normal 56 4 3" xfId="6579"/>
    <cellStyle name="Normal 56 5" xfId="1861"/>
    <cellStyle name="Normal 56 5 2" xfId="3086"/>
    <cellStyle name="Normal 56 5 2 2" xfId="7524"/>
    <cellStyle name="Normal 56 5 3" xfId="6671"/>
    <cellStyle name="Normal 56 6" xfId="2187"/>
    <cellStyle name="Normal 56 7" xfId="2362"/>
    <cellStyle name="Normal 56 7 2" xfId="3300"/>
    <cellStyle name="Normal 56 7 2 2" xfId="7722"/>
    <cellStyle name="Normal 56 7 3" xfId="6857"/>
    <cellStyle name="Normal 56 8" xfId="2452"/>
    <cellStyle name="Normal 56 8 2" xfId="3389"/>
    <cellStyle name="Normal 56 8 2 2" xfId="7811"/>
    <cellStyle name="Normal 56 8 3" xfId="6945"/>
    <cellStyle name="Normal 56 9" xfId="2553"/>
    <cellStyle name="Normal 56 9 2" xfId="3479"/>
    <cellStyle name="Normal 56 9 2 2" xfId="7901"/>
    <cellStyle name="Normal 56 9 3" xfId="7032"/>
    <cellStyle name="Normal 57" xfId="720"/>
    <cellStyle name="Normal 57 10" xfId="2720"/>
    <cellStyle name="Normal 57 10 2" xfId="7161"/>
    <cellStyle name="Normal 57 11" xfId="3652"/>
    <cellStyle name="Normal 57 11 2" xfId="8055"/>
    <cellStyle name="Normal 57 12" xfId="3750"/>
    <cellStyle name="Normal 57 12 2" xfId="8145"/>
    <cellStyle name="Normal 57 13" xfId="3852"/>
    <cellStyle name="Normal 57 13 2" xfId="8241"/>
    <cellStyle name="Normal 57 14" xfId="3947"/>
    <cellStyle name="Normal 57 14 2" xfId="8329"/>
    <cellStyle name="Normal 57 15" xfId="4040"/>
    <cellStyle name="Normal 57 15 2" xfId="8418"/>
    <cellStyle name="Normal 57 16" xfId="4135"/>
    <cellStyle name="Normal 57 16 2" xfId="8505"/>
    <cellStyle name="Normal 57 17" xfId="4238"/>
    <cellStyle name="Normal 57 17 2" xfId="8599"/>
    <cellStyle name="Normal 57 18" xfId="4332"/>
    <cellStyle name="Normal 57 18 2" xfId="8688"/>
    <cellStyle name="Normal 57 19" xfId="4424"/>
    <cellStyle name="Normal 57 19 2" xfId="8775"/>
    <cellStyle name="Normal 57 2" xfId="1503"/>
    <cellStyle name="Normal 57 2 2" xfId="2812"/>
    <cellStyle name="Normal 57 2 2 2" xfId="7253"/>
    <cellStyle name="Normal 57 2 3" xfId="6401"/>
    <cellStyle name="Normal 57 20" xfId="4516"/>
    <cellStyle name="Normal 57 20 2" xfId="8863"/>
    <cellStyle name="Normal 57 21" xfId="4612"/>
    <cellStyle name="Normal 57 21 2" xfId="8952"/>
    <cellStyle name="Normal 57 22" xfId="4706"/>
    <cellStyle name="Normal 57 22 2" xfId="9040"/>
    <cellStyle name="Normal 57 23" xfId="4800"/>
    <cellStyle name="Normal 57 23 2" xfId="9129"/>
    <cellStyle name="Normal 57 24" xfId="4894"/>
    <cellStyle name="Normal 57 24 2" xfId="9217"/>
    <cellStyle name="Normal 57 25" xfId="4986"/>
    <cellStyle name="Normal 57 25 2" xfId="9306"/>
    <cellStyle name="Normal 57 26" xfId="5080"/>
    <cellStyle name="Normal 57 26 2" xfId="9394"/>
    <cellStyle name="Normal 57 27" xfId="5176"/>
    <cellStyle name="Normal 57 27 2" xfId="9481"/>
    <cellStyle name="Normal 57 28" xfId="5275"/>
    <cellStyle name="Normal 57 28 2" xfId="9574"/>
    <cellStyle name="Normal 57 29" xfId="5378"/>
    <cellStyle name="Normal 57 29 2" xfId="9665"/>
    <cellStyle name="Normal 57 3" xfId="1607"/>
    <cellStyle name="Normal 57 3 2" xfId="2902"/>
    <cellStyle name="Normal 57 3 2 2" xfId="7343"/>
    <cellStyle name="Normal 57 3 3" xfId="6491"/>
    <cellStyle name="Normal 57 30" xfId="5901"/>
    <cellStyle name="Normal 57 30 2" xfId="10091"/>
    <cellStyle name="Normal 57 31" xfId="5992"/>
    <cellStyle name="Normal 57 31 2" xfId="10178"/>
    <cellStyle name="Normal 57 32" xfId="6089"/>
    <cellStyle name="Normal 57 32 2" xfId="10267"/>
    <cellStyle name="Normal 57 33" xfId="6181"/>
    <cellStyle name="Normal 57 33 2" xfId="10355"/>
    <cellStyle name="Normal 57 34" xfId="1399"/>
    <cellStyle name="Normal 57 35" xfId="6310"/>
    <cellStyle name="Normal 57 4" xfId="1717"/>
    <cellStyle name="Normal 57 4 2" xfId="2992"/>
    <cellStyle name="Normal 57 4 2 2" xfId="7431"/>
    <cellStyle name="Normal 57 4 3" xfId="6580"/>
    <cellStyle name="Normal 57 5" xfId="1862"/>
    <cellStyle name="Normal 57 5 2" xfId="3087"/>
    <cellStyle name="Normal 57 5 2 2" xfId="7525"/>
    <cellStyle name="Normal 57 5 3" xfId="6672"/>
    <cellStyle name="Normal 57 6" xfId="2188"/>
    <cellStyle name="Normal 57 7" xfId="2363"/>
    <cellStyle name="Normal 57 7 2" xfId="3301"/>
    <cellStyle name="Normal 57 7 2 2" xfId="7723"/>
    <cellStyle name="Normal 57 7 3" xfId="6858"/>
    <cellStyle name="Normal 57 8" xfId="2453"/>
    <cellStyle name="Normal 57 8 2" xfId="3390"/>
    <cellStyle name="Normal 57 8 2 2" xfId="7812"/>
    <cellStyle name="Normal 57 8 3" xfId="6946"/>
    <cellStyle name="Normal 57 9" xfId="2554"/>
    <cellStyle name="Normal 57 9 2" xfId="3480"/>
    <cellStyle name="Normal 57 9 2 2" xfId="7902"/>
    <cellStyle name="Normal 57 9 3" xfId="7033"/>
    <cellStyle name="Normal 58" xfId="721"/>
    <cellStyle name="Normal 58 10" xfId="2721"/>
    <cellStyle name="Normal 58 10 2" xfId="7162"/>
    <cellStyle name="Normal 58 11" xfId="3653"/>
    <cellStyle name="Normal 58 11 2" xfId="8056"/>
    <cellStyle name="Normal 58 12" xfId="3751"/>
    <cellStyle name="Normal 58 12 2" xfId="8146"/>
    <cellStyle name="Normal 58 13" xfId="3853"/>
    <cellStyle name="Normal 58 13 2" xfId="8242"/>
    <cellStyle name="Normal 58 14" xfId="3948"/>
    <cellStyle name="Normal 58 14 2" xfId="8330"/>
    <cellStyle name="Normal 58 15" xfId="4041"/>
    <cellStyle name="Normal 58 15 2" xfId="8419"/>
    <cellStyle name="Normal 58 16" xfId="4136"/>
    <cellStyle name="Normal 58 16 2" xfId="8506"/>
    <cellStyle name="Normal 58 17" xfId="4239"/>
    <cellStyle name="Normal 58 17 2" xfId="8600"/>
    <cellStyle name="Normal 58 18" xfId="4333"/>
    <cellStyle name="Normal 58 18 2" xfId="8689"/>
    <cellStyle name="Normal 58 19" xfId="4425"/>
    <cellStyle name="Normal 58 19 2" xfId="8776"/>
    <cellStyle name="Normal 58 2" xfId="1504"/>
    <cellStyle name="Normal 58 2 2" xfId="2813"/>
    <cellStyle name="Normal 58 2 2 2" xfId="7254"/>
    <cellStyle name="Normal 58 2 3" xfId="6402"/>
    <cellStyle name="Normal 58 20" xfId="4517"/>
    <cellStyle name="Normal 58 20 2" xfId="8864"/>
    <cellStyle name="Normal 58 21" xfId="4613"/>
    <cellStyle name="Normal 58 21 2" xfId="8953"/>
    <cellStyle name="Normal 58 22" xfId="4707"/>
    <cellStyle name="Normal 58 22 2" xfId="9041"/>
    <cellStyle name="Normal 58 23" xfId="4801"/>
    <cellStyle name="Normal 58 23 2" xfId="9130"/>
    <cellStyle name="Normal 58 24" xfId="4895"/>
    <cellStyle name="Normal 58 24 2" xfId="9218"/>
    <cellStyle name="Normal 58 25" xfId="4987"/>
    <cellStyle name="Normal 58 25 2" xfId="9307"/>
    <cellStyle name="Normal 58 26" xfId="5081"/>
    <cellStyle name="Normal 58 26 2" xfId="9395"/>
    <cellStyle name="Normal 58 27" xfId="5177"/>
    <cellStyle name="Normal 58 27 2" xfId="9482"/>
    <cellStyle name="Normal 58 28" xfId="5276"/>
    <cellStyle name="Normal 58 28 2" xfId="9575"/>
    <cellStyle name="Normal 58 29" xfId="5379"/>
    <cellStyle name="Normal 58 29 2" xfId="9666"/>
    <cellStyle name="Normal 58 3" xfId="1608"/>
    <cellStyle name="Normal 58 3 2" xfId="2903"/>
    <cellStyle name="Normal 58 3 2 2" xfId="7344"/>
    <cellStyle name="Normal 58 3 3" xfId="6492"/>
    <cellStyle name="Normal 58 30" xfId="5902"/>
    <cellStyle name="Normal 58 30 2" xfId="10092"/>
    <cellStyle name="Normal 58 31" xfId="5993"/>
    <cellStyle name="Normal 58 31 2" xfId="10179"/>
    <cellStyle name="Normal 58 32" xfId="6090"/>
    <cellStyle name="Normal 58 32 2" xfId="10268"/>
    <cellStyle name="Normal 58 33" xfId="6182"/>
    <cellStyle name="Normal 58 33 2" xfId="10356"/>
    <cellStyle name="Normal 58 34" xfId="1400"/>
    <cellStyle name="Normal 58 35" xfId="6311"/>
    <cellStyle name="Normal 58 4" xfId="1718"/>
    <cellStyle name="Normal 58 4 2" xfId="2993"/>
    <cellStyle name="Normal 58 4 2 2" xfId="7432"/>
    <cellStyle name="Normal 58 4 3" xfId="6581"/>
    <cellStyle name="Normal 58 5" xfId="1863"/>
    <cellStyle name="Normal 58 5 2" xfId="3088"/>
    <cellStyle name="Normal 58 5 2 2" xfId="7526"/>
    <cellStyle name="Normal 58 5 3" xfId="6673"/>
    <cellStyle name="Normal 58 6" xfId="2189"/>
    <cellStyle name="Normal 58 7" xfId="2364"/>
    <cellStyle name="Normal 58 7 2" xfId="3302"/>
    <cellStyle name="Normal 58 7 2 2" xfId="7724"/>
    <cellStyle name="Normal 58 7 3" xfId="6859"/>
    <cellStyle name="Normal 58 8" xfId="2454"/>
    <cellStyle name="Normal 58 8 2" xfId="3391"/>
    <cellStyle name="Normal 58 8 2 2" xfId="7813"/>
    <cellStyle name="Normal 58 8 3" xfId="6947"/>
    <cellStyle name="Normal 58 9" xfId="2555"/>
    <cellStyle name="Normal 58 9 2" xfId="3481"/>
    <cellStyle name="Normal 58 9 2 2" xfId="7903"/>
    <cellStyle name="Normal 58 9 3" xfId="7034"/>
    <cellStyle name="Normal 59" xfId="722"/>
    <cellStyle name="Normal 59 10" xfId="2722"/>
    <cellStyle name="Normal 59 10 2" xfId="7163"/>
    <cellStyle name="Normal 59 11" xfId="3654"/>
    <cellStyle name="Normal 59 11 2" xfId="8057"/>
    <cellStyle name="Normal 59 12" xfId="3752"/>
    <cellStyle name="Normal 59 12 2" xfId="8147"/>
    <cellStyle name="Normal 59 13" xfId="3854"/>
    <cellStyle name="Normal 59 13 2" xfId="8243"/>
    <cellStyle name="Normal 59 14" xfId="3949"/>
    <cellStyle name="Normal 59 14 2" xfId="8331"/>
    <cellStyle name="Normal 59 15" xfId="4042"/>
    <cellStyle name="Normal 59 15 2" xfId="8420"/>
    <cellStyle name="Normal 59 16" xfId="4137"/>
    <cellStyle name="Normal 59 16 2" xfId="8507"/>
    <cellStyle name="Normal 59 17" xfId="4240"/>
    <cellStyle name="Normal 59 17 2" xfId="8601"/>
    <cellStyle name="Normal 59 18" xfId="4334"/>
    <cellStyle name="Normal 59 18 2" xfId="8690"/>
    <cellStyle name="Normal 59 19" xfId="4426"/>
    <cellStyle name="Normal 59 19 2" xfId="8777"/>
    <cellStyle name="Normal 59 2" xfId="1505"/>
    <cellStyle name="Normal 59 2 2" xfId="2814"/>
    <cellStyle name="Normal 59 2 2 2" xfId="7255"/>
    <cellStyle name="Normal 59 2 3" xfId="6403"/>
    <cellStyle name="Normal 59 20" xfId="4518"/>
    <cellStyle name="Normal 59 20 2" xfId="8865"/>
    <cellStyle name="Normal 59 21" xfId="4614"/>
    <cellStyle name="Normal 59 21 2" xfId="8954"/>
    <cellStyle name="Normal 59 22" xfId="4708"/>
    <cellStyle name="Normal 59 22 2" xfId="9042"/>
    <cellStyle name="Normal 59 23" xfId="4802"/>
    <cellStyle name="Normal 59 23 2" xfId="9131"/>
    <cellStyle name="Normal 59 24" xfId="4896"/>
    <cellStyle name="Normal 59 24 2" xfId="9219"/>
    <cellStyle name="Normal 59 25" xfId="4988"/>
    <cellStyle name="Normal 59 25 2" xfId="9308"/>
    <cellStyle name="Normal 59 26" xfId="5082"/>
    <cellStyle name="Normal 59 26 2" xfId="9396"/>
    <cellStyle name="Normal 59 27" xfId="5178"/>
    <cellStyle name="Normal 59 27 2" xfId="9483"/>
    <cellStyle name="Normal 59 28" xfId="5277"/>
    <cellStyle name="Normal 59 28 2" xfId="9576"/>
    <cellStyle name="Normal 59 29" xfId="5380"/>
    <cellStyle name="Normal 59 29 2" xfId="9667"/>
    <cellStyle name="Normal 59 3" xfId="1609"/>
    <cellStyle name="Normal 59 3 2" xfId="2904"/>
    <cellStyle name="Normal 59 3 2 2" xfId="7345"/>
    <cellStyle name="Normal 59 3 3" xfId="6493"/>
    <cellStyle name="Normal 59 30" xfId="5903"/>
    <cellStyle name="Normal 59 30 2" xfId="10093"/>
    <cellStyle name="Normal 59 31" xfId="5994"/>
    <cellStyle name="Normal 59 31 2" xfId="10180"/>
    <cellStyle name="Normal 59 32" xfId="6091"/>
    <cellStyle name="Normal 59 32 2" xfId="10269"/>
    <cellStyle name="Normal 59 33" xfId="6183"/>
    <cellStyle name="Normal 59 33 2" xfId="10357"/>
    <cellStyle name="Normal 59 34" xfId="1401"/>
    <cellStyle name="Normal 59 35" xfId="6312"/>
    <cellStyle name="Normal 59 4" xfId="1719"/>
    <cellStyle name="Normal 59 4 2" xfId="2994"/>
    <cellStyle name="Normal 59 4 2 2" xfId="7433"/>
    <cellStyle name="Normal 59 4 3" xfId="6582"/>
    <cellStyle name="Normal 59 5" xfId="1864"/>
    <cellStyle name="Normal 59 5 2" xfId="3089"/>
    <cellStyle name="Normal 59 5 2 2" xfId="7527"/>
    <cellStyle name="Normal 59 5 3" xfId="6674"/>
    <cellStyle name="Normal 59 6" xfId="2190"/>
    <cellStyle name="Normal 59 7" xfId="2365"/>
    <cellStyle name="Normal 59 7 2" xfId="3303"/>
    <cellStyle name="Normal 59 7 2 2" xfId="7725"/>
    <cellStyle name="Normal 59 7 3" xfId="6860"/>
    <cellStyle name="Normal 59 8" xfId="2455"/>
    <cellStyle name="Normal 59 8 2" xfId="3392"/>
    <cellStyle name="Normal 59 8 2 2" xfId="7814"/>
    <cellStyle name="Normal 59 8 3" xfId="6948"/>
    <cellStyle name="Normal 59 9" xfId="2556"/>
    <cellStyle name="Normal 59 9 2" xfId="3482"/>
    <cellStyle name="Normal 59 9 2 2" xfId="7904"/>
    <cellStyle name="Normal 59 9 3" xfId="7035"/>
    <cellStyle name="Normal 6" xfId="723"/>
    <cellStyle name="Normal 6 10" xfId="1228"/>
    <cellStyle name="Normal 6 11" xfId="6244"/>
    <cellStyle name="Normal 6 2" xfId="724"/>
    <cellStyle name="Normal 6 2 2" xfId="725"/>
    <cellStyle name="Normal 6 2 2 2" xfId="3213"/>
    <cellStyle name="Normal 6 2 2 2 2" xfId="7637"/>
    <cellStyle name="Normal 6 2 2 3" xfId="2193"/>
    <cellStyle name="Normal 6 2 2 4" xfId="6774"/>
    <cellStyle name="Normal 6 2 3" xfId="726"/>
    <cellStyle name="Normal 6 2 4" xfId="1180"/>
    <cellStyle name="Normal 6 2 4 2" xfId="2192"/>
    <cellStyle name="Normal 6 2 5" xfId="2661"/>
    <cellStyle name="Normal 6 2 5 2" xfId="7106"/>
    <cellStyle name="Normal 6 2 6" xfId="1242"/>
    <cellStyle name="Normal 6 2 7" xfId="6261"/>
    <cellStyle name="Normal 6 3" xfId="727"/>
    <cellStyle name="Normal 6 3 2" xfId="728"/>
    <cellStyle name="Normal 6 3 3" xfId="2194"/>
    <cellStyle name="Normal 6 3 4" xfId="1402"/>
    <cellStyle name="Normal 6 4" xfId="729"/>
    <cellStyle name="Normal 6 4 2" xfId="3137"/>
    <cellStyle name="Normal 6 4 2 2" xfId="7574"/>
    <cellStyle name="Normal 6 4 3" xfId="1921"/>
    <cellStyle name="Normal 6 4 4" xfId="6718"/>
    <cellStyle name="Normal 6 5" xfId="730"/>
    <cellStyle name="Normal 6 6" xfId="2191"/>
    <cellStyle name="Normal 6 7" xfId="2643"/>
    <cellStyle name="Normal 6 7 2" xfId="7088"/>
    <cellStyle name="Normal 6 8" xfId="3807"/>
    <cellStyle name="Normal 6 8 2" xfId="8196"/>
    <cellStyle name="Normal 6 9" xfId="4193"/>
    <cellStyle name="Normal 6 9 2" xfId="8554"/>
    <cellStyle name="Normal 60" xfId="731"/>
    <cellStyle name="Normal 60 10" xfId="2723"/>
    <cellStyle name="Normal 60 10 2" xfId="7164"/>
    <cellStyle name="Normal 60 11" xfId="3655"/>
    <cellStyle name="Normal 60 11 2" xfId="8058"/>
    <cellStyle name="Normal 60 12" xfId="3753"/>
    <cellStyle name="Normal 60 12 2" xfId="8148"/>
    <cellStyle name="Normal 60 13" xfId="3855"/>
    <cellStyle name="Normal 60 13 2" xfId="8244"/>
    <cellStyle name="Normal 60 14" xfId="3950"/>
    <cellStyle name="Normal 60 14 2" xfId="8332"/>
    <cellStyle name="Normal 60 15" xfId="4043"/>
    <cellStyle name="Normal 60 15 2" xfId="8421"/>
    <cellStyle name="Normal 60 16" xfId="4138"/>
    <cellStyle name="Normal 60 16 2" xfId="8508"/>
    <cellStyle name="Normal 60 17" xfId="4241"/>
    <cellStyle name="Normal 60 17 2" xfId="8602"/>
    <cellStyle name="Normal 60 18" xfId="4335"/>
    <cellStyle name="Normal 60 18 2" xfId="8691"/>
    <cellStyle name="Normal 60 19" xfId="4427"/>
    <cellStyle name="Normal 60 19 2" xfId="8778"/>
    <cellStyle name="Normal 60 2" xfId="1506"/>
    <cellStyle name="Normal 60 2 2" xfId="2815"/>
    <cellStyle name="Normal 60 2 2 2" xfId="7256"/>
    <cellStyle name="Normal 60 2 3" xfId="6404"/>
    <cellStyle name="Normal 60 20" xfId="4519"/>
    <cellStyle name="Normal 60 20 2" xfId="8866"/>
    <cellStyle name="Normal 60 21" xfId="4615"/>
    <cellStyle name="Normal 60 21 2" xfId="8955"/>
    <cellStyle name="Normal 60 22" xfId="4709"/>
    <cellStyle name="Normal 60 22 2" xfId="9043"/>
    <cellStyle name="Normal 60 23" xfId="4803"/>
    <cellStyle name="Normal 60 23 2" xfId="9132"/>
    <cellStyle name="Normal 60 24" xfId="4897"/>
    <cellStyle name="Normal 60 24 2" xfId="9220"/>
    <cellStyle name="Normal 60 25" xfId="4989"/>
    <cellStyle name="Normal 60 25 2" xfId="9309"/>
    <cellStyle name="Normal 60 26" xfId="5083"/>
    <cellStyle name="Normal 60 26 2" xfId="9397"/>
    <cellStyle name="Normal 60 27" xfId="5179"/>
    <cellStyle name="Normal 60 27 2" xfId="9484"/>
    <cellStyle name="Normal 60 28" xfId="5278"/>
    <cellStyle name="Normal 60 28 2" xfId="9577"/>
    <cellStyle name="Normal 60 29" xfId="5381"/>
    <cellStyle name="Normal 60 29 2" xfId="9668"/>
    <cellStyle name="Normal 60 3" xfId="1610"/>
    <cellStyle name="Normal 60 3 2" xfId="2905"/>
    <cellStyle name="Normal 60 3 2 2" xfId="7346"/>
    <cellStyle name="Normal 60 3 3" xfId="6494"/>
    <cellStyle name="Normal 60 30" xfId="5904"/>
    <cellStyle name="Normal 60 30 2" xfId="10094"/>
    <cellStyle name="Normal 60 31" xfId="5995"/>
    <cellStyle name="Normal 60 31 2" xfId="10181"/>
    <cellStyle name="Normal 60 32" xfId="6092"/>
    <cellStyle name="Normal 60 32 2" xfId="10270"/>
    <cellStyle name="Normal 60 33" xfId="6184"/>
    <cellStyle name="Normal 60 33 2" xfId="10358"/>
    <cellStyle name="Normal 60 34" xfId="1403"/>
    <cellStyle name="Normal 60 35" xfId="6313"/>
    <cellStyle name="Normal 60 4" xfId="1720"/>
    <cellStyle name="Normal 60 4 2" xfId="2995"/>
    <cellStyle name="Normal 60 4 2 2" xfId="7434"/>
    <cellStyle name="Normal 60 4 3" xfId="6583"/>
    <cellStyle name="Normal 60 5" xfId="1865"/>
    <cellStyle name="Normal 60 5 2" xfId="3090"/>
    <cellStyle name="Normal 60 5 2 2" xfId="7528"/>
    <cellStyle name="Normal 60 5 3" xfId="6675"/>
    <cellStyle name="Normal 60 6" xfId="2196"/>
    <cellStyle name="Normal 60 7" xfId="2366"/>
    <cellStyle name="Normal 60 7 2" xfId="3304"/>
    <cellStyle name="Normal 60 7 2 2" xfId="7726"/>
    <cellStyle name="Normal 60 7 3" xfId="6861"/>
    <cellStyle name="Normal 60 8" xfId="2456"/>
    <cellStyle name="Normal 60 8 2" xfId="3393"/>
    <cellStyle name="Normal 60 8 2 2" xfId="7815"/>
    <cellStyle name="Normal 60 8 3" xfId="6949"/>
    <cellStyle name="Normal 60 9" xfId="2557"/>
    <cellStyle name="Normal 60 9 2" xfId="3483"/>
    <cellStyle name="Normal 60 9 2 2" xfId="7905"/>
    <cellStyle name="Normal 60 9 3" xfId="7036"/>
    <cellStyle name="Normal 61" xfId="732"/>
    <cellStyle name="Normal 61 10" xfId="2724"/>
    <cellStyle name="Normal 61 10 2" xfId="7165"/>
    <cellStyle name="Normal 61 11" xfId="3656"/>
    <cellStyle name="Normal 61 11 2" xfId="8059"/>
    <cellStyle name="Normal 61 12" xfId="3754"/>
    <cellStyle name="Normal 61 12 2" xfId="8149"/>
    <cellStyle name="Normal 61 13" xfId="3856"/>
    <cellStyle name="Normal 61 13 2" xfId="8245"/>
    <cellStyle name="Normal 61 14" xfId="3951"/>
    <cellStyle name="Normal 61 14 2" xfId="8333"/>
    <cellStyle name="Normal 61 15" xfId="4044"/>
    <cellStyle name="Normal 61 15 2" xfId="8422"/>
    <cellStyle name="Normal 61 16" xfId="4139"/>
    <cellStyle name="Normal 61 16 2" xfId="8509"/>
    <cellStyle name="Normal 61 17" xfId="4242"/>
    <cellStyle name="Normal 61 17 2" xfId="8603"/>
    <cellStyle name="Normal 61 18" xfId="4336"/>
    <cellStyle name="Normal 61 18 2" xfId="8692"/>
    <cellStyle name="Normal 61 19" xfId="4428"/>
    <cellStyle name="Normal 61 19 2" xfId="8779"/>
    <cellStyle name="Normal 61 2" xfId="1507"/>
    <cellStyle name="Normal 61 2 2" xfId="2816"/>
    <cellStyle name="Normal 61 2 2 2" xfId="7257"/>
    <cellStyle name="Normal 61 2 3" xfId="6405"/>
    <cellStyle name="Normal 61 20" xfId="4520"/>
    <cellStyle name="Normal 61 20 2" xfId="8867"/>
    <cellStyle name="Normal 61 21" xfId="4616"/>
    <cellStyle name="Normal 61 21 2" xfId="8956"/>
    <cellStyle name="Normal 61 22" xfId="4710"/>
    <cellStyle name="Normal 61 22 2" xfId="9044"/>
    <cellStyle name="Normal 61 23" xfId="4804"/>
    <cellStyle name="Normal 61 23 2" xfId="9133"/>
    <cellStyle name="Normal 61 24" xfId="4898"/>
    <cellStyle name="Normal 61 24 2" xfId="9221"/>
    <cellStyle name="Normal 61 25" xfId="4990"/>
    <cellStyle name="Normal 61 25 2" xfId="9310"/>
    <cellStyle name="Normal 61 26" xfId="5084"/>
    <cellStyle name="Normal 61 26 2" xfId="9398"/>
    <cellStyle name="Normal 61 27" xfId="5180"/>
    <cellStyle name="Normal 61 27 2" xfId="9485"/>
    <cellStyle name="Normal 61 28" xfId="5279"/>
    <cellStyle name="Normal 61 28 2" xfId="9578"/>
    <cellStyle name="Normal 61 29" xfId="5382"/>
    <cellStyle name="Normal 61 29 2" xfId="9669"/>
    <cellStyle name="Normal 61 3" xfId="1611"/>
    <cellStyle name="Normal 61 3 2" xfId="2906"/>
    <cellStyle name="Normal 61 3 2 2" xfId="7347"/>
    <cellStyle name="Normal 61 3 3" xfId="6495"/>
    <cellStyle name="Normal 61 30" xfId="5905"/>
    <cellStyle name="Normal 61 30 2" xfId="10095"/>
    <cellStyle name="Normal 61 31" xfId="5996"/>
    <cellStyle name="Normal 61 31 2" xfId="10182"/>
    <cellStyle name="Normal 61 32" xfId="6093"/>
    <cellStyle name="Normal 61 32 2" xfId="10271"/>
    <cellStyle name="Normal 61 33" xfId="6185"/>
    <cellStyle name="Normal 61 33 2" xfId="10359"/>
    <cellStyle name="Normal 61 34" xfId="1404"/>
    <cellStyle name="Normal 61 35" xfId="6314"/>
    <cellStyle name="Normal 61 4" xfId="1721"/>
    <cellStyle name="Normal 61 4 2" xfId="2996"/>
    <cellStyle name="Normal 61 4 2 2" xfId="7435"/>
    <cellStyle name="Normal 61 4 3" xfId="6584"/>
    <cellStyle name="Normal 61 5" xfId="1866"/>
    <cellStyle name="Normal 61 5 2" xfId="3091"/>
    <cellStyle name="Normal 61 5 2 2" xfId="7529"/>
    <cellStyle name="Normal 61 5 3" xfId="6676"/>
    <cellStyle name="Normal 61 6" xfId="2197"/>
    <cellStyle name="Normal 61 7" xfId="2367"/>
    <cellStyle name="Normal 61 7 2" xfId="3305"/>
    <cellStyle name="Normal 61 7 2 2" xfId="7727"/>
    <cellStyle name="Normal 61 7 3" xfId="6862"/>
    <cellStyle name="Normal 61 8" xfId="2457"/>
    <cellStyle name="Normal 61 8 2" xfId="3394"/>
    <cellStyle name="Normal 61 8 2 2" xfId="7816"/>
    <cellStyle name="Normal 61 8 3" xfId="6950"/>
    <cellStyle name="Normal 61 9" xfId="2558"/>
    <cellStyle name="Normal 61 9 2" xfId="3484"/>
    <cellStyle name="Normal 61 9 2 2" xfId="7906"/>
    <cellStyle name="Normal 61 9 3" xfId="7037"/>
    <cellStyle name="Normal 62" xfId="733"/>
    <cellStyle name="Normal 62 10" xfId="2725"/>
    <cellStyle name="Normal 62 10 2" xfId="7166"/>
    <cellStyle name="Normal 62 11" xfId="3657"/>
    <cellStyle name="Normal 62 11 2" xfId="8060"/>
    <cellStyle name="Normal 62 12" xfId="3755"/>
    <cellStyle name="Normal 62 12 2" xfId="8150"/>
    <cellStyle name="Normal 62 13" xfId="3857"/>
    <cellStyle name="Normal 62 13 2" xfId="8246"/>
    <cellStyle name="Normal 62 14" xfId="3952"/>
    <cellStyle name="Normal 62 14 2" xfId="8334"/>
    <cellStyle name="Normal 62 15" xfId="4045"/>
    <cellStyle name="Normal 62 15 2" xfId="8423"/>
    <cellStyle name="Normal 62 16" xfId="4140"/>
    <cellStyle name="Normal 62 16 2" xfId="8510"/>
    <cellStyle name="Normal 62 17" xfId="4243"/>
    <cellStyle name="Normal 62 17 2" xfId="8604"/>
    <cellStyle name="Normal 62 18" xfId="4337"/>
    <cellStyle name="Normal 62 18 2" xfId="8693"/>
    <cellStyle name="Normal 62 19" xfId="4429"/>
    <cellStyle name="Normal 62 19 2" xfId="8780"/>
    <cellStyle name="Normal 62 2" xfId="1508"/>
    <cellStyle name="Normal 62 2 2" xfId="2817"/>
    <cellStyle name="Normal 62 2 2 2" xfId="7258"/>
    <cellStyle name="Normal 62 2 3" xfId="6406"/>
    <cellStyle name="Normal 62 20" xfId="4521"/>
    <cellStyle name="Normal 62 20 2" xfId="8868"/>
    <cellStyle name="Normal 62 21" xfId="4617"/>
    <cellStyle name="Normal 62 21 2" xfId="8957"/>
    <cellStyle name="Normal 62 22" xfId="4711"/>
    <cellStyle name="Normal 62 22 2" xfId="9045"/>
    <cellStyle name="Normal 62 23" xfId="4805"/>
    <cellStyle name="Normal 62 23 2" xfId="9134"/>
    <cellStyle name="Normal 62 24" xfId="4899"/>
    <cellStyle name="Normal 62 24 2" xfId="9222"/>
    <cellStyle name="Normal 62 25" xfId="4991"/>
    <cellStyle name="Normal 62 25 2" xfId="9311"/>
    <cellStyle name="Normal 62 26" xfId="5085"/>
    <cellStyle name="Normal 62 26 2" xfId="9399"/>
    <cellStyle name="Normal 62 27" xfId="5181"/>
    <cellStyle name="Normal 62 27 2" xfId="9486"/>
    <cellStyle name="Normal 62 28" xfId="5280"/>
    <cellStyle name="Normal 62 28 2" xfId="9579"/>
    <cellStyle name="Normal 62 29" xfId="5383"/>
    <cellStyle name="Normal 62 29 2" xfId="9670"/>
    <cellStyle name="Normal 62 3" xfId="1612"/>
    <cellStyle name="Normal 62 3 2" xfId="2907"/>
    <cellStyle name="Normal 62 3 2 2" xfId="7348"/>
    <cellStyle name="Normal 62 3 3" xfId="6496"/>
    <cellStyle name="Normal 62 30" xfId="5906"/>
    <cellStyle name="Normal 62 30 2" xfId="10096"/>
    <cellStyle name="Normal 62 31" xfId="5997"/>
    <cellStyle name="Normal 62 31 2" xfId="10183"/>
    <cellStyle name="Normal 62 32" xfId="6094"/>
    <cellStyle name="Normal 62 32 2" xfId="10272"/>
    <cellStyle name="Normal 62 33" xfId="6186"/>
    <cellStyle name="Normal 62 33 2" xfId="10360"/>
    <cellStyle name="Normal 62 34" xfId="1405"/>
    <cellStyle name="Normal 62 35" xfId="6315"/>
    <cellStyle name="Normal 62 4" xfId="1722"/>
    <cellStyle name="Normal 62 4 2" xfId="2997"/>
    <cellStyle name="Normal 62 4 2 2" xfId="7436"/>
    <cellStyle name="Normal 62 4 3" xfId="6585"/>
    <cellStyle name="Normal 62 5" xfId="1867"/>
    <cellStyle name="Normal 62 5 2" xfId="3092"/>
    <cellStyle name="Normal 62 5 2 2" xfId="7530"/>
    <cellStyle name="Normal 62 5 3" xfId="6677"/>
    <cellStyle name="Normal 62 6" xfId="2198"/>
    <cellStyle name="Normal 62 7" xfId="2368"/>
    <cellStyle name="Normal 62 7 2" xfId="3306"/>
    <cellStyle name="Normal 62 7 2 2" xfId="7728"/>
    <cellStyle name="Normal 62 7 3" xfId="6863"/>
    <cellStyle name="Normal 62 8" xfId="2458"/>
    <cellStyle name="Normal 62 8 2" xfId="3395"/>
    <cellStyle name="Normal 62 8 2 2" xfId="7817"/>
    <cellStyle name="Normal 62 8 3" xfId="6951"/>
    <cellStyle name="Normal 62 9" xfId="2559"/>
    <cellStyle name="Normal 62 9 2" xfId="3485"/>
    <cellStyle name="Normal 62 9 2 2" xfId="7907"/>
    <cellStyle name="Normal 62 9 3" xfId="7038"/>
    <cellStyle name="Normal 63" xfId="734"/>
    <cellStyle name="Normal 63 10" xfId="2726"/>
    <cellStyle name="Normal 63 10 2" xfId="7167"/>
    <cellStyle name="Normal 63 11" xfId="3658"/>
    <cellStyle name="Normal 63 11 2" xfId="8061"/>
    <cellStyle name="Normal 63 12" xfId="3756"/>
    <cellStyle name="Normal 63 12 2" xfId="8151"/>
    <cellStyle name="Normal 63 13" xfId="3858"/>
    <cellStyle name="Normal 63 13 2" xfId="8247"/>
    <cellStyle name="Normal 63 14" xfId="3953"/>
    <cellStyle name="Normal 63 14 2" xfId="8335"/>
    <cellStyle name="Normal 63 15" xfId="4046"/>
    <cellStyle name="Normal 63 15 2" xfId="8424"/>
    <cellStyle name="Normal 63 16" xfId="4141"/>
    <cellStyle name="Normal 63 16 2" xfId="8511"/>
    <cellStyle name="Normal 63 17" xfId="4244"/>
    <cellStyle name="Normal 63 17 2" xfId="8605"/>
    <cellStyle name="Normal 63 18" xfId="4338"/>
    <cellStyle name="Normal 63 18 2" xfId="8694"/>
    <cellStyle name="Normal 63 19" xfId="4430"/>
    <cellStyle name="Normal 63 19 2" xfId="8781"/>
    <cellStyle name="Normal 63 2" xfId="1509"/>
    <cellStyle name="Normal 63 2 2" xfId="2818"/>
    <cellStyle name="Normal 63 2 2 2" xfId="7259"/>
    <cellStyle name="Normal 63 2 3" xfId="6407"/>
    <cellStyle name="Normal 63 20" xfId="4522"/>
    <cellStyle name="Normal 63 20 2" xfId="8869"/>
    <cellStyle name="Normal 63 21" xfId="4618"/>
    <cellStyle name="Normal 63 21 2" xfId="8958"/>
    <cellStyle name="Normal 63 22" xfId="4712"/>
    <cellStyle name="Normal 63 22 2" xfId="9046"/>
    <cellStyle name="Normal 63 23" xfId="4806"/>
    <cellStyle name="Normal 63 23 2" xfId="9135"/>
    <cellStyle name="Normal 63 24" xfId="4900"/>
    <cellStyle name="Normal 63 24 2" xfId="9223"/>
    <cellStyle name="Normal 63 25" xfId="4992"/>
    <cellStyle name="Normal 63 25 2" xfId="9312"/>
    <cellStyle name="Normal 63 26" xfId="5086"/>
    <cellStyle name="Normal 63 26 2" xfId="9400"/>
    <cellStyle name="Normal 63 27" xfId="5182"/>
    <cellStyle name="Normal 63 27 2" xfId="9487"/>
    <cellStyle name="Normal 63 28" xfId="5281"/>
    <cellStyle name="Normal 63 28 2" xfId="9580"/>
    <cellStyle name="Normal 63 29" xfId="5384"/>
    <cellStyle name="Normal 63 29 2" xfId="9671"/>
    <cellStyle name="Normal 63 3" xfId="1613"/>
    <cellStyle name="Normal 63 3 2" xfId="2908"/>
    <cellStyle name="Normal 63 3 2 2" xfId="7349"/>
    <cellStyle name="Normal 63 3 3" xfId="6497"/>
    <cellStyle name="Normal 63 30" xfId="5907"/>
    <cellStyle name="Normal 63 30 2" xfId="10097"/>
    <cellStyle name="Normal 63 31" xfId="5998"/>
    <cellStyle name="Normal 63 31 2" xfId="10184"/>
    <cellStyle name="Normal 63 32" xfId="6095"/>
    <cellStyle name="Normal 63 32 2" xfId="10273"/>
    <cellStyle name="Normal 63 33" xfId="6187"/>
    <cellStyle name="Normal 63 33 2" xfId="10361"/>
    <cellStyle name="Normal 63 34" xfId="1406"/>
    <cellStyle name="Normal 63 35" xfId="6316"/>
    <cellStyle name="Normal 63 4" xfId="1723"/>
    <cellStyle name="Normal 63 4 2" xfId="2998"/>
    <cellStyle name="Normal 63 4 2 2" xfId="7437"/>
    <cellStyle name="Normal 63 4 3" xfId="6586"/>
    <cellStyle name="Normal 63 5" xfId="1868"/>
    <cellStyle name="Normal 63 5 2" xfId="3093"/>
    <cellStyle name="Normal 63 5 2 2" xfId="7531"/>
    <cellStyle name="Normal 63 5 3" xfId="6678"/>
    <cellStyle name="Normal 63 6" xfId="2199"/>
    <cellStyle name="Normal 63 7" xfId="2369"/>
    <cellStyle name="Normal 63 7 2" xfId="3307"/>
    <cellStyle name="Normal 63 7 2 2" xfId="7729"/>
    <cellStyle name="Normal 63 7 3" xfId="6864"/>
    <cellStyle name="Normal 63 8" xfId="2459"/>
    <cellStyle name="Normal 63 8 2" xfId="3396"/>
    <cellStyle name="Normal 63 8 2 2" xfId="7818"/>
    <cellStyle name="Normal 63 8 3" xfId="6952"/>
    <cellStyle name="Normal 63 9" xfId="2560"/>
    <cellStyle name="Normal 63 9 2" xfId="3486"/>
    <cellStyle name="Normal 63 9 2 2" xfId="7908"/>
    <cellStyle name="Normal 63 9 3" xfId="7039"/>
    <cellStyle name="Normal 64" xfId="735"/>
    <cellStyle name="Normal 64 10" xfId="2727"/>
    <cellStyle name="Normal 64 10 2" xfId="7168"/>
    <cellStyle name="Normal 64 11" xfId="3659"/>
    <cellStyle name="Normal 64 11 2" xfId="8062"/>
    <cellStyle name="Normal 64 12" xfId="3757"/>
    <cellStyle name="Normal 64 12 2" xfId="8152"/>
    <cellStyle name="Normal 64 13" xfId="3859"/>
    <cellStyle name="Normal 64 13 2" xfId="8248"/>
    <cellStyle name="Normal 64 14" xfId="3954"/>
    <cellStyle name="Normal 64 14 2" xfId="8336"/>
    <cellStyle name="Normal 64 15" xfId="4047"/>
    <cellStyle name="Normal 64 15 2" xfId="8425"/>
    <cellStyle name="Normal 64 16" xfId="4142"/>
    <cellStyle name="Normal 64 16 2" xfId="8512"/>
    <cellStyle name="Normal 64 17" xfId="4245"/>
    <cellStyle name="Normal 64 17 2" xfId="8606"/>
    <cellStyle name="Normal 64 18" xfId="4339"/>
    <cellStyle name="Normal 64 18 2" xfId="8695"/>
    <cellStyle name="Normal 64 19" xfId="4431"/>
    <cellStyle name="Normal 64 19 2" xfId="8782"/>
    <cellStyle name="Normal 64 2" xfId="1510"/>
    <cellStyle name="Normal 64 2 2" xfId="2819"/>
    <cellStyle name="Normal 64 2 2 2" xfId="7260"/>
    <cellStyle name="Normal 64 2 3" xfId="6408"/>
    <cellStyle name="Normal 64 20" xfId="4523"/>
    <cellStyle name="Normal 64 20 2" xfId="8870"/>
    <cellStyle name="Normal 64 21" xfId="4619"/>
    <cellStyle name="Normal 64 21 2" xfId="8959"/>
    <cellStyle name="Normal 64 22" xfId="4713"/>
    <cellStyle name="Normal 64 22 2" xfId="9047"/>
    <cellStyle name="Normal 64 23" xfId="4807"/>
    <cellStyle name="Normal 64 23 2" xfId="9136"/>
    <cellStyle name="Normal 64 24" xfId="4901"/>
    <cellStyle name="Normal 64 24 2" xfId="9224"/>
    <cellStyle name="Normal 64 25" xfId="4993"/>
    <cellStyle name="Normal 64 25 2" xfId="9313"/>
    <cellStyle name="Normal 64 26" xfId="5087"/>
    <cellStyle name="Normal 64 26 2" xfId="9401"/>
    <cellStyle name="Normal 64 27" xfId="5183"/>
    <cellStyle name="Normal 64 27 2" xfId="9488"/>
    <cellStyle name="Normal 64 28" xfId="5282"/>
    <cellStyle name="Normal 64 28 2" xfId="9581"/>
    <cellStyle name="Normal 64 29" xfId="5385"/>
    <cellStyle name="Normal 64 29 2" xfId="9672"/>
    <cellStyle name="Normal 64 3" xfId="1614"/>
    <cellStyle name="Normal 64 3 2" xfId="2909"/>
    <cellStyle name="Normal 64 3 2 2" xfId="7350"/>
    <cellStyle name="Normal 64 3 3" xfId="6498"/>
    <cellStyle name="Normal 64 30" xfId="5908"/>
    <cellStyle name="Normal 64 30 2" xfId="10098"/>
    <cellStyle name="Normal 64 31" xfId="5999"/>
    <cellStyle name="Normal 64 31 2" xfId="10185"/>
    <cellStyle name="Normal 64 32" xfId="6096"/>
    <cellStyle name="Normal 64 32 2" xfId="10274"/>
    <cellStyle name="Normal 64 33" xfId="6188"/>
    <cellStyle name="Normal 64 33 2" xfId="10362"/>
    <cellStyle name="Normal 64 34" xfId="1407"/>
    <cellStyle name="Normal 64 35" xfId="6317"/>
    <cellStyle name="Normal 64 4" xfId="1724"/>
    <cellStyle name="Normal 64 4 2" xfId="2999"/>
    <cellStyle name="Normal 64 4 2 2" xfId="7438"/>
    <cellStyle name="Normal 64 4 3" xfId="6587"/>
    <cellStyle name="Normal 64 5" xfId="1869"/>
    <cellStyle name="Normal 64 5 2" xfId="3094"/>
    <cellStyle name="Normal 64 5 2 2" xfId="7532"/>
    <cellStyle name="Normal 64 5 3" xfId="6679"/>
    <cellStyle name="Normal 64 6" xfId="2200"/>
    <cellStyle name="Normal 64 7" xfId="2370"/>
    <cellStyle name="Normal 64 7 2" xfId="3308"/>
    <cellStyle name="Normal 64 7 2 2" xfId="7730"/>
    <cellStyle name="Normal 64 7 3" xfId="6865"/>
    <cellStyle name="Normal 64 8" xfId="2460"/>
    <cellStyle name="Normal 64 8 2" xfId="3397"/>
    <cellStyle name="Normal 64 8 2 2" xfId="7819"/>
    <cellStyle name="Normal 64 8 3" xfId="6953"/>
    <cellStyle name="Normal 64 9" xfId="2561"/>
    <cellStyle name="Normal 64 9 2" xfId="3487"/>
    <cellStyle name="Normal 64 9 2 2" xfId="7909"/>
    <cellStyle name="Normal 64 9 3" xfId="7040"/>
    <cellStyle name="Normal 65" xfId="736"/>
    <cellStyle name="Normal 65 10" xfId="2728"/>
    <cellStyle name="Normal 65 10 2" xfId="7169"/>
    <cellStyle name="Normal 65 11" xfId="3660"/>
    <cellStyle name="Normal 65 11 2" xfId="8063"/>
    <cellStyle name="Normal 65 12" xfId="3758"/>
    <cellStyle name="Normal 65 12 2" xfId="8153"/>
    <cellStyle name="Normal 65 13" xfId="3860"/>
    <cellStyle name="Normal 65 13 2" xfId="8249"/>
    <cellStyle name="Normal 65 14" xfId="3955"/>
    <cellStyle name="Normal 65 14 2" xfId="8337"/>
    <cellStyle name="Normal 65 15" xfId="4048"/>
    <cellStyle name="Normal 65 15 2" xfId="8426"/>
    <cellStyle name="Normal 65 16" xfId="4143"/>
    <cellStyle name="Normal 65 16 2" xfId="8513"/>
    <cellStyle name="Normal 65 17" xfId="4246"/>
    <cellStyle name="Normal 65 17 2" xfId="8607"/>
    <cellStyle name="Normal 65 18" xfId="4340"/>
    <cellStyle name="Normal 65 18 2" xfId="8696"/>
    <cellStyle name="Normal 65 19" xfId="4432"/>
    <cellStyle name="Normal 65 19 2" xfId="8783"/>
    <cellStyle name="Normal 65 2" xfId="1511"/>
    <cellStyle name="Normal 65 2 2" xfId="2820"/>
    <cellStyle name="Normal 65 2 2 2" xfId="7261"/>
    <cellStyle name="Normal 65 2 3" xfId="6409"/>
    <cellStyle name="Normal 65 20" xfId="4524"/>
    <cellStyle name="Normal 65 20 2" xfId="8871"/>
    <cellStyle name="Normal 65 21" xfId="4620"/>
    <cellStyle name="Normal 65 21 2" xfId="8960"/>
    <cellStyle name="Normal 65 22" xfId="4714"/>
    <cellStyle name="Normal 65 22 2" xfId="9048"/>
    <cellStyle name="Normal 65 23" xfId="4808"/>
    <cellStyle name="Normal 65 23 2" xfId="9137"/>
    <cellStyle name="Normal 65 24" xfId="4902"/>
    <cellStyle name="Normal 65 24 2" xfId="9225"/>
    <cellStyle name="Normal 65 25" xfId="4994"/>
    <cellStyle name="Normal 65 25 2" xfId="9314"/>
    <cellStyle name="Normal 65 26" xfId="5088"/>
    <cellStyle name="Normal 65 26 2" xfId="9402"/>
    <cellStyle name="Normal 65 27" xfId="5184"/>
    <cellStyle name="Normal 65 27 2" xfId="9489"/>
    <cellStyle name="Normal 65 28" xfId="5283"/>
    <cellStyle name="Normal 65 28 2" xfId="9582"/>
    <cellStyle name="Normal 65 29" xfId="5386"/>
    <cellStyle name="Normal 65 29 2" xfId="9673"/>
    <cellStyle name="Normal 65 3" xfId="1615"/>
    <cellStyle name="Normal 65 3 2" xfId="2910"/>
    <cellStyle name="Normal 65 3 2 2" xfId="7351"/>
    <cellStyle name="Normal 65 3 3" xfId="6499"/>
    <cellStyle name="Normal 65 30" xfId="5909"/>
    <cellStyle name="Normal 65 30 2" xfId="10099"/>
    <cellStyle name="Normal 65 31" xfId="6000"/>
    <cellStyle name="Normal 65 31 2" xfId="10186"/>
    <cellStyle name="Normal 65 32" xfId="6097"/>
    <cellStyle name="Normal 65 32 2" xfId="10275"/>
    <cellStyle name="Normal 65 33" xfId="6189"/>
    <cellStyle name="Normal 65 33 2" xfId="10363"/>
    <cellStyle name="Normal 65 34" xfId="1408"/>
    <cellStyle name="Normal 65 35" xfId="6318"/>
    <cellStyle name="Normal 65 4" xfId="1725"/>
    <cellStyle name="Normal 65 4 2" xfId="3000"/>
    <cellStyle name="Normal 65 4 2 2" xfId="7439"/>
    <cellStyle name="Normal 65 4 3" xfId="6588"/>
    <cellStyle name="Normal 65 5" xfId="1870"/>
    <cellStyle name="Normal 65 5 2" xfId="3095"/>
    <cellStyle name="Normal 65 5 2 2" xfId="7533"/>
    <cellStyle name="Normal 65 5 3" xfId="6680"/>
    <cellStyle name="Normal 65 6" xfId="2201"/>
    <cellStyle name="Normal 65 7" xfId="2371"/>
    <cellStyle name="Normal 65 7 2" xfId="3309"/>
    <cellStyle name="Normal 65 7 2 2" xfId="7731"/>
    <cellStyle name="Normal 65 7 3" xfId="6866"/>
    <cellStyle name="Normal 65 8" xfId="2461"/>
    <cellStyle name="Normal 65 8 2" xfId="3398"/>
    <cellStyle name="Normal 65 8 2 2" xfId="7820"/>
    <cellStyle name="Normal 65 8 3" xfId="6954"/>
    <cellStyle name="Normal 65 9" xfId="2562"/>
    <cellStyle name="Normal 65 9 2" xfId="3488"/>
    <cellStyle name="Normal 65 9 2 2" xfId="7910"/>
    <cellStyle name="Normal 65 9 3" xfId="7041"/>
    <cellStyle name="Normal 66" xfId="737"/>
    <cellStyle name="Normal 66 10" xfId="2729"/>
    <cellStyle name="Normal 66 10 2" xfId="7170"/>
    <cellStyle name="Normal 66 11" xfId="3661"/>
    <cellStyle name="Normal 66 11 2" xfId="8064"/>
    <cellStyle name="Normal 66 12" xfId="3759"/>
    <cellStyle name="Normal 66 12 2" xfId="8154"/>
    <cellStyle name="Normal 66 13" xfId="3861"/>
    <cellStyle name="Normal 66 13 2" xfId="8250"/>
    <cellStyle name="Normal 66 14" xfId="3956"/>
    <cellStyle name="Normal 66 14 2" xfId="8338"/>
    <cellStyle name="Normal 66 15" xfId="4049"/>
    <cellStyle name="Normal 66 15 2" xfId="8427"/>
    <cellStyle name="Normal 66 16" xfId="4144"/>
    <cellStyle name="Normal 66 16 2" xfId="8514"/>
    <cellStyle name="Normal 66 17" xfId="4247"/>
    <cellStyle name="Normal 66 17 2" xfId="8608"/>
    <cellStyle name="Normal 66 18" xfId="4341"/>
    <cellStyle name="Normal 66 18 2" xfId="8697"/>
    <cellStyle name="Normal 66 19" xfId="4433"/>
    <cellStyle name="Normal 66 19 2" xfId="8784"/>
    <cellStyle name="Normal 66 2" xfId="1512"/>
    <cellStyle name="Normal 66 2 2" xfId="2821"/>
    <cellStyle name="Normal 66 2 2 2" xfId="7262"/>
    <cellStyle name="Normal 66 2 3" xfId="6410"/>
    <cellStyle name="Normal 66 20" xfId="4525"/>
    <cellStyle name="Normal 66 20 2" xfId="8872"/>
    <cellStyle name="Normal 66 21" xfId="4621"/>
    <cellStyle name="Normal 66 21 2" xfId="8961"/>
    <cellStyle name="Normal 66 22" xfId="4715"/>
    <cellStyle name="Normal 66 22 2" xfId="9049"/>
    <cellStyle name="Normal 66 23" xfId="4809"/>
    <cellStyle name="Normal 66 23 2" xfId="9138"/>
    <cellStyle name="Normal 66 24" xfId="4903"/>
    <cellStyle name="Normal 66 24 2" xfId="9226"/>
    <cellStyle name="Normal 66 25" xfId="4995"/>
    <cellStyle name="Normal 66 25 2" xfId="9315"/>
    <cellStyle name="Normal 66 26" xfId="5089"/>
    <cellStyle name="Normal 66 26 2" xfId="9403"/>
    <cellStyle name="Normal 66 27" xfId="5185"/>
    <cellStyle name="Normal 66 27 2" xfId="9490"/>
    <cellStyle name="Normal 66 28" xfId="5284"/>
    <cellStyle name="Normal 66 28 2" xfId="9583"/>
    <cellStyle name="Normal 66 29" xfId="5387"/>
    <cellStyle name="Normal 66 29 2" xfId="9674"/>
    <cellStyle name="Normal 66 3" xfId="1616"/>
    <cellStyle name="Normal 66 3 2" xfId="2911"/>
    <cellStyle name="Normal 66 3 2 2" xfId="7352"/>
    <cellStyle name="Normal 66 3 3" xfId="6500"/>
    <cellStyle name="Normal 66 30" xfId="5910"/>
    <cellStyle name="Normal 66 30 2" xfId="10100"/>
    <cellStyle name="Normal 66 31" xfId="6001"/>
    <cellStyle name="Normal 66 31 2" xfId="10187"/>
    <cellStyle name="Normal 66 32" xfId="6098"/>
    <cellStyle name="Normal 66 32 2" xfId="10276"/>
    <cellStyle name="Normal 66 33" xfId="6190"/>
    <cellStyle name="Normal 66 33 2" xfId="10364"/>
    <cellStyle name="Normal 66 34" xfId="1409"/>
    <cellStyle name="Normal 66 35" xfId="6319"/>
    <cellStyle name="Normal 66 4" xfId="1726"/>
    <cellStyle name="Normal 66 4 2" xfId="3001"/>
    <cellStyle name="Normal 66 4 2 2" xfId="7440"/>
    <cellStyle name="Normal 66 4 3" xfId="6589"/>
    <cellStyle name="Normal 66 5" xfId="1871"/>
    <cellStyle name="Normal 66 5 2" xfId="3096"/>
    <cellStyle name="Normal 66 5 2 2" xfId="7534"/>
    <cellStyle name="Normal 66 5 3" xfId="6681"/>
    <cellStyle name="Normal 66 6" xfId="2202"/>
    <cellStyle name="Normal 66 7" xfId="2372"/>
    <cellStyle name="Normal 66 7 2" xfId="3310"/>
    <cellStyle name="Normal 66 7 2 2" xfId="7732"/>
    <cellStyle name="Normal 66 7 3" xfId="6867"/>
    <cellStyle name="Normal 66 8" xfId="2462"/>
    <cellStyle name="Normal 66 8 2" xfId="3399"/>
    <cellStyle name="Normal 66 8 2 2" xfId="7821"/>
    <cellStyle name="Normal 66 8 3" xfId="6955"/>
    <cellStyle name="Normal 66 9" xfId="2563"/>
    <cellStyle name="Normal 66 9 2" xfId="3489"/>
    <cellStyle name="Normal 66 9 2 2" xfId="7911"/>
    <cellStyle name="Normal 66 9 3" xfId="7042"/>
    <cellStyle name="Normal 67" xfId="738"/>
    <cellStyle name="Normal 67 10" xfId="2730"/>
    <cellStyle name="Normal 67 10 2" xfId="7171"/>
    <cellStyle name="Normal 67 11" xfId="3662"/>
    <cellStyle name="Normal 67 11 2" xfId="8065"/>
    <cellStyle name="Normal 67 12" xfId="3760"/>
    <cellStyle name="Normal 67 12 2" xfId="8155"/>
    <cellStyle name="Normal 67 13" xfId="3862"/>
    <cellStyle name="Normal 67 13 2" xfId="8251"/>
    <cellStyle name="Normal 67 14" xfId="3957"/>
    <cellStyle name="Normal 67 14 2" xfId="8339"/>
    <cellStyle name="Normal 67 15" xfId="4050"/>
    <cellStyle name="Normal 67 15 2" xfId="8428"/>
    <cellStyle name="Normal 67 16" xfId="4145"/>
    <cellStyle name="Normal 67 16 2" xfId="8515"/>
    <cellStyle name="Normal 67 17" xfId="4248"/>
    <cellStyle name="Normal 67 17 2" xfId="8609"/>
    <cellStyle name="Normal 67 18" xfId="4342"/>
    <cellStyle name="Normal 67 18 2" xfId="8698"/>
    <cellStyle name="Normal 67 19" xfId="4434"/>
    <cellStyle name="Normal 67 19 2" xfId="8785"/>
    <cellStyle name="Normal 67 2" xfId="1513"/>
    <cellStyle name="Normal 67 2 2" xfId="2822"/>
    <cellStyle name="Normal 67 2 2 2" xfId="7263"/>
    <cellStyle name="Normal 67 2 3" xfId="6411"/>
    <cellStyle name="Normal 67 20" xfId="4526"/>
    <cellStyle name="Normal 67 20 2" xfId="8873"/>
    <cellStyle name="Normal 67 21" xfId="4622"/>
    <cellStyle name="Normal 67 21 2" xfId="8962"/>
    <cellStyle name="Normal 67 22" xfId="4716"/>
    <cellStyle name="Normal 67 22 2" xfId="9050"/>
    <cellStyle name="Normal 67 23" xfId="4810"/>
    <cellStyle name="Normal 67 23 2" xfId="9139"/>
    <cellStyle name="Normal 67 24" xfId="4904"/>
    <cellStyle name="Normal 67 24 2" xfId="9227"/>
    <cellStyle name="Normal 67 25" xfId="4996"/>
    <cellStyle name="Normal 67 25 2" xfId="9316"/>
    <cellStyle name="Normal 67 26" xfId="5090"/>
    <cellStyle name="Normal 67 26 2" xfId="9404"/>
    <cellStyle name="Normal 67 27" xfId="5186"/>
    <cellStyle name="Normal 67 27 2" xfId="9491"/>
    <cellStyle name="Normal 67 28" xfId="5285"/>
    <cellStyle name="Normal 67 28 2" xfId="9584"/>
    <cellStyle name="Normal 67 29" xfId="5388"/>
    <cellStyle name="Normal 67 29 2" xfId="9675"/>
    <cellStyle name="Normal 67 3" xfId="1617"/>
    <cellStyle name="Normal 67 3 2" xfId="2912"/>
    <cellStyle name="Normal 67 3 2 2" xfId="7353"/>
    <cellStyle name="Normal 67 3 3" xfId="6501"/>
    <cellStyle name="Normal 67 30" xfId="5911"/>
    <cellStyle name="Normal 67 30 2" xfId="10101"/>
    <cellStyle name="Normal 67 31" xfId="6002"/>
    <cellStyle name="Normal 67 31 2" xfId="10188"/>
    <cellStyle name="Normal 67 32" xfId="6099"/>
    <cellStyle name="Normal 67 32 2" xfId="10277"/>
    <cellStyle name="Normal 67 33" xfId="6191"/>
    <cellStyle name="Normal 67 33 2" xfId="10365"/>
    <cellStyle name="Normal 67 34" xfId="1410"/>
    <cellStyle name="Normal 67 35" xfId="6320"/>
    <cellStyle name="Normal 67 4" xfId="1727"/>
    <cellStyle name="Normal 67 4 2" xfId="3002"/>
    <cellStyle name="Normal 67 4 2 2" xfId="7441"/>
    <cellStyle name="Normal 67 4 3" xfId="6590"/>
    <cellStyle name="Normal 67 5" xfId="1872"/>
    <cellStyle name="Normal 67 5 2" xfId="3097"/>
    <cellStyle name="Normal 67 5 2 2" xfId="7535"/>
    <cellStyle name="Normal 67 5 3" xfId="6682"/>
    <cellStyle name="Normal 67 6" xfId="2203"/>
    <cellStyle name="Normal 67 7" xfId="2373"/>
    <cellStyle name="Normal 67 7 2" xfId="3311"/>
    <cellStyle name="Normal 67 7 2 2" xfId="7733"/>
    <cellStyle name="Normal 67 7 3" xfId="6868"/>
    <cellStyle name="Normal 67 8" xfId="2463"/>
    <cellStyle name="Normal 67 8 2" xfId="3400"/>
    <cellStyle name="Normal 67 8 2 2" xfId="7822"/>
    <cellStyle name="Normal 67 8 3" xfId="6956"/>
    <cellStyle name="Normal 67 9" xfId="2564"/>
    <cellStyle name="Normal 67 9 2" xfId="3490"/>
    <cellStyle name="Normal 67 9 2 2" xfId="7912"/>
    <cellStyle name="Normal 67 9 3" xfId="7043"/>
    <cellStyle name="Normal 68" xfId="739"/>
    <cellStyle name="Normal 68 10" xfId="2731"/>
    <cellStyle name="Normal 68 10 2" xfId="7172"/>
    <cellStyle name="Normal 68 11" xfId="3663"/>
    <cellStyle name="Normal 68 11 2" xfId="8066"/>
    <cellStyle name="Normal 68 12" xfId="3761"/>
    <cellStyle name="Normal 68 12 2" xfId="8156"/>
    <cellStyle name="Normal 68 13" xfId="3863"/>
    <cellStyle name="Normal 68 13 2" xfId="8252"/>
    <cellStyle name="Normal 68 14" xfId="3958"/>
    <cellStyle name="Normal 68 14 2" xfId="8340"/>
    <cellStyle name="Normal 68 15" xfId="4051"/>
    <cellStyle name="Normal 68 15 2" xfId="8429"/>
    <cellStyle name="Normal 68 16" xfId="4146"/>
    <cellStyle name="Normal 68 16 2" xfId="8516"/>
    <cellStyle name="Normal 68 17" xfId="4249"/>
    <cellStyle name="Normal 68 17 2" xfId="8610"/>
    <cellStyle name="Normal 68 18" xfId="4343"/>
    <cellStyle name="Normal 68 18 2" xfId="8699"/>
    <cellStyle name="Normal 68 19" xfId="4435"/>
    <cellStyle name="Normal 68 19 2" xfId="8786"/>
    <cellStyle name="Normal 68 2" xfId="1514"/>
    <cellStyle name="Normal 68 2 2" xfId="2823"/>
    <cellStyle name="Normal 68 2 2 2" xfId="7264"/>
    <cellStyle name="Normal 68 2 3" xfId="6412"/>
    <cellStyle name="Normal 68 20" xfId="4527"/>
    <cellStyle name="Normal 68 20 2" xfId="8874"/>
    <cellStyle name="Normal 68 21" xfId="4623"/>
    <cellStyle name="Normal 68 21 2" xfId="8963"/>
    <cellStyle name="Normal 68 22" xfId="4717"/>
    <cellStyle name="Normal 68 22 2" xfId="9051"/>
    <cellStyle name="Normal 68 23" xfId="4811"/>
    <cellStyle name="Normal 68 23 2" xfId="9140"/>
    <cellStyle name="Normal 68 24" xfId="4905"/>
    <cellStyle name="Normal 68 24 2" xfId="9228"/>
    <cellStyle name="Normal 68 25" xfId="4997"/>
    <cellStyle name="Normal 68 25 2" xfId="9317"/>
    <cellStyle name="Normal 68 26" xfId="5091"/>
    <cellStyle name="Normal 68 26 2" xfId="9405"/>
    <cellStyle name="Normal 68 27" xfId="5187"/>
    <cellStyle name="Normal 68 27 2" xfId="9492"/>
    <cellStyle name="Normal 68 28" xfId="5286"/>
    <cellStyle name="Normal 68 28 2" xfId="9585"/>
    <cellStyle name="Normal 68 29" xfId="5389"/>
    <cellStyle name="Normal 68 29 2" xfId="9676"/>
    <cellStyle name="Normal 68 3" xfId="1618"/>
    <cellStyle name="Normal 68 3 2" xfId="2913"/>
    <cellStyle name="Normal 68 3 2 2" xfId="7354"/>
    <cellStyle name="Normal 68 3 3" xfId="6502"/>
    <cellStyle name="Normal 68 30" xfId="5912"/>
    <cellStyle name="Normal 68 30 2" xfId="10102"/>
    <cellStyle name="Normal 68 31" xfId="6003"/>
    <cellStyle name="Normal 68 31 2" xfId="10189"/>
    <cellStyle name="Normal 68 32" xfId="6100"/>
    <cellStyle name="Normal 68 32 2" xfId="10278"/>
    <cellStyle name="Normal 68 33" xfId="6192"/>
    <cellStyle name="Normal 68 33 2" xfId="10366"/>
    <cellStyle name="Normal 68 34" xfId="1411"/>
    <cellStyle name="Normal 68 35" xfId="6321"/>
    <cellStyle name="Normal 68 4" xfId="1728"/>
    <cellStyle name="Normal 68 4 2" xfId="3003"/>
    <cellStyle name="Normal 68 4 2 2" xfId="7442"/>
    <cellStyle name="Normal 68 4 3" xfId="6591"/>
    <cellStyle name="Normal 68 5" xfId="1873"/>
    <cellStyle name="Normal 68 5 2" xfId="3098"/>
    <cellStyle name="Normal 68 5 2 2" xfId="7536"/>
    <cellStyle name="Normal 68 5 3" xfId="6683"/>
    <cellStyle name="Normal 68 6" xfId="2204"/>
    <cellStyle name="Normal 68 7" xfId="2374"/>
    <cellStyle name="Normal 68 7 2" xfId="3312"/>
    <cellStyle name="Normal 68 7 2 2" xfId="7734"/>
    <cellStyle name="Normal 68 7 3" xfId="6869"/>
    <cellStyle name="Normal 68 8" xfId="2464"/>
    <cellStyle name="Normal 68 8 2" xfId="3401"/>
    <cellStyle name="Normal 68 8 2 2" xfId="7823"/>
    <cellStyle name="Normal 68 8 3" xfId="6957"/>
    <cellStyle name="Normal 68 9" xfId="2565"/>
    <cellStyle name="Normal 68 9 2" xfId="3491"/>
    <cellStyle name="Normal 68 9 2 2" xfId="7913"/>
    <cellStyle name="Normal 68 9 3" xfId="7044"/>
    <cellStyle name="Normal 69" xfId="740"/>
    <cellStyle name="Normal 69 10" xfId="2732"/>
    <cellStyle name="Normal 69 10 2" xfId="7173"/>
    <cellStyle name="Normal 69 11" xfId="3664"/>
    <cellStyle name="Normal 69 11 2" xfId="8067"/>
    <cellStyle name="Normal 69 12" xfId="3762"/>
    <cellStyle name="Normal 69 12 2" xfId="8157"/>
    <cellStyle name="Normal 69 13" xfId="3864"/>
    <cellStyle name="Normal 69 13 2" xfId="8253"/>
    <cellStyle name="Normal 69 14" xfId="3959"/>
    <cellStyle name="Normal 69 14 2" xfId="8341"/>
    <cellStyle name="Normal 69 15" xfId="4052"/>
    <cellStyle name="Normal 69 15 2" xfId="8430"/>
    <cellStyle name="Normal 69 16" xfId="4147"/>
    <cellStyle name="Normal 69 16 2" xfId="8517"/>
    <cellStyle name="Normal 69 17" xfId="4250"/>
    <cellStyle name="Normal 69 17 2" xfId="8611"/>
    <cellStyle name="Normal 69 18" xfId="4344"/>
    <cellStyle name="Normal 69 18 2" xfId="8700"/>
    <cellStyle name="Normal 69 19" xfId="4436"/>
    <cellStyle name="Normal 69 19 2" xfId="8787"/>
    <cellStyle name="Normal 69 2" xfId="1515"/>
    <cellStyle name="Normal 69 2 2" xfId="2824"/>
    <cellStyle name="Normal 69 2 2 2" xfId="7265"/>
    <cellStyle name="Normal 69 2 3" xfId="6413"/>
    <cellStyle name="Normal 69 20" xfId="4528"/>
    <cellStyle name="Normal 69 20 2" xfId="8875"/>
    <cellStyle name="Normal 69 21" xfId="4624"/>
    <cellStyle name="Normal 69 21 2" xfId="8964"/>
    <cellStyle name="Normal 69 22" xfId="4718"/>
    <cellStyle name="Normal 69 22 2" xfId="9052"/>
    <cellStyle name="Normal 69 23" xfId="4812"/>
    <cellStyle name="Normal 69 23 2" xfId="9141"/>
    <cellStyle name="Normal 69 24" xfId="4906"/>
    <cellStyle name="Normal 69 24 2" xfId="9229"/>
    <cellStyle name="Normal 69 25" xfId="4998"/>
    <cellStyle name="Normal 69 25 2" xfId="9318"/>
    <cellStyle name="Normal 69 26" xfId="5092"/>
    <cellStyle name="Normal 69 26 2" xfId="9406"/>
    <cellStyle name="Normal 69 27" xfId="5188"/>
    <cellStyle name="Normal 69 27 2" xfId="9493"/>
    <cellStyle name="Normal 69 28" xfId="5287"/>
    <cellStyle name="Normal 69 28 2" xfId="9586"/>
    <cellStyle name="Normal 69 29" xfId="5390"/>
    <cellStyle name="Normal 69 29 2" xfId="9677"/>
    <cellStyle name="Normal 69 3" xfId="1619"/>
    <cellStyle name="Normal 69 3 2" xfId="2914"/>
    <cellStyle name="Normal 69 3 2 2" xfId="7355"/>
    <cellStyle name="Normal 69 3 3" xfId="6503"/>
    <cellStyle name="Normal 69 30" xfId="5913"/>
    <cellStyle name="Normal 69 30 2" xfId="10103"/>
    <cellStyle name="Normal 69 31" xfId="6004"/>
    <cellStyle name="Normal 69 31 2" xfId="10190"/>
    <cellStyle name="Normal 69 32" xfId="6101"/>
    <cellStyle name="Normal 69 32 2" xfId="10279"/>
    <cellStyle name="Normal 69 33" xfId="6193"/>
    <cellStyle name="Normal 69 33 2" xfId="10367"/>
    <cellStyle name="Normal 69 34" xfId="1412"/>
    <cellStyle name="Normal 69 35" xfId="6322"/>
    <cellStyle name="Normal 69 4" xfId="1729"/>
    <cellStyle name="Normal 69 4 2" xfId="3004"/>
    <cellStyle name="Normal 69 4 2 2" xfId="7443"/>
    <cellStyle name="Normal 69 4 3" xfId="6592"/>
    <cellStyle name="Normal 69 5" xfId="1874"/>
    <cellStyle name="Normal 69 5 2" xfId="3099"/>
    <cellStyle name="Normal 69 5 2 2" xfId="7537"/>
    <cellStyle name="Normal 69 5 3" xfId="6684"/>
    <cellStyle name="Normal 69 6" xfId="2205"/>
    <cellStyle name="Normal 69 7" xfId="2375"/>
    <cellStyle name="Normal 69 7 2" xfId="3313"/>
    <cellStyle name="Normal 69 7 2 2" xfId="7735"/>
    <cellStyle name="Normal 69 7 3" xfId="6870"/>
    <cellStyle name="Normal 69 8" xfId="2465"/>
    <cellStyle name="Normal 69 8 2" xfId="3402"/>
    <cellStyle name="Normal 69 8 2 2" xfId="7824"/>
    <cellStyle name="Normal 69 8 3" xfId="6958"/>
    <cellStyle name="Normal 69 9" xfId="2566"/>
    <cellStyle name="Normal 69 9 2" xfId="3492"/>
    <cellStyle name="Normal 69 9 2 2" xfId="7914"/>
    <cellStyle name="Normal 69 9 3" xfId="7045"/>
    <cellStyle name="Normal 7" xfId="741"/>
    <cellStyle name="Normal 7 2" xfId="742"/>
    <cellStyle name="Normal 7 2 2" xfId="743"/>
    <cellStyle name="Normal 7 2 3" xfId="1181"/>
    <cellStyle name="Normal 7 2 3 2" xfId="2207"/>
    <cellStyle name="Normal 7 2 4" xfId="1413"/>
    <cellStyle name="Normal 7 3" xfId="744"/>
    <cellStyle name="Normal 7 3 2" xfId="745"/>
    <cellStyle name="Normal 7 3 3" xfId="3215"/>
    <cellStyle name="Normal 7 3 3 2" xfId="7638"/>
    <cellStyle name="Normal 7 3 4" xfId="2208"/>
    <cellStyle name="Normal 7 3 5" xfId="6775"/>
    <cellStyle name="Normal 7 4" xfId="2206"/>
    <cellStyle name="Normal 7 5" xfId="2642"/>
    <cellStyle name="Normal 7 5 2" xfId="7087"/>
    <cellStyle name="Normal 7 6" xfId="1227"/>
    <cellStyle name="Normal 7 7" xfId="6243"/>
    <cellStyle name="Normal 70" xfId="746"/>
    <cellStyle name="Normal 70 10" xfId="2733"/>
    <cellStyle name="Normal 70 10 2" xfId="7174"/>
    <cellStyle name="Normal 70 11" xfId="3665"/>
    <cellStyle name="Normal 70 11 2" xfId="8068"/>
    <cellStyle name="Normal 70 12" xfId="3763"/>
    <cellStyle name="Normal 70 12 2" xfId="8158"/>
    <cellStyle name="Normal 70 13" xfId="3865"/>
    <cellStyle name="Normal 70 13 2" xfId="8254"/>
    <cellStyle name="Normal 70 14" xfId="3960"/>
    <cellStyle name="Normal 70 14 2" xfId="8342"/>
    <cellStyle name="Normal 70 15" xfId="4053"/>
    <cellStyle name="Normal 70 15 2" xfId="8431"/>
    <cellStyle name="Normal 70 16" xfId="4148"/>
    <cellStyle name="Normal 70 16 2" xfId="8518"/>
    <cellStyle name="Normal 70 17" xfId="4251"/>
    <cellStyle name="Normal 70 17 2" xfId="8612"/>
    <cellStyle name="Normal 70 18" xfId="4345"/>
    <cellStyle name="Normal 70 18 2" xfId="8701"/>
    <cellStyle name="Normal 70 19" xfId="4437"/>
    <cellStyle name="Normal 70 19 2" xfId="8788"/>
    <cellStyle name="Normal 70 2" xfId="1516"/>
    <cellStyle name="Normal 70 2 2" xfId="2825"/>
    <cellStyle name="Normal 70 2 2 2" xfId="7266"/>
    <cellStyle name="Normal 70 2 3" xfId="6414"/>
    <cellStyle name="Normal 70 20" xfId="4529"/>
    <cellStyle name="Normal 70 20 2" xfId="8876"/>
    <cellStyle name="Normal 70 21" xfId="4625"/>
    <cellStyle name="Normal 70 21 2" xfId="8965"/>
    <cellStyle name="Normal 70 22" xfId="4719"/>
    <cellStyle name="Normal 70 22 2" xfId="9053"/>
    <cellStyle name="Normal 70 23" xfId="4813"/>
    <cellStyle name="Normal 70 23 2" xfId="9142"/>
    <cellStyle name="Normal 70 24" xfId="4907"/>
    <cellStyle name="Normal 70 24 2" xfId="9230"/>
    <cellStyle name="Normal 70 25" xfId="4999"/>
    <cellStyle name="Normal 70 25 2" xfId="9319"/>
    <cellStyle name="Normal 70 26" xfId="5093"/>
    <cellStyle name="Normal 70 26 2" xfId="9407"/>
    <cellStyle name="Normal 70 27" xfId="5189"/>
    <cellStyle name="Normal 70 27 2" xfId="9494"/>
    <cellStyle name="Normal 70 28" xfId="5288"/>
    <cellStyle name="Normal 70 28 2" xfId="9587"/>
    <cellStyle name="Normal 70 29" xfId="5391"/>
    <cellStyle name="Normal 70 29 2" xfId="9678"/>
    <cellStyle name="Normal 70 3" xfId="1620"/>
    <cellStyle name="Normal 70 3 2" xfId="2915"/>
    <cellStyle name="Normal 70 3 2 2" xfId="7356"/>
    <cellStyle name="Normal 70 3 3" xfId="6504"/>
    <cellStyle name="Normal 70 30" xfId="5914"/>
    <cellStyle name="Normal 70 30 2" xfId="10104"/>
    <cellStyle name="Normal 70 31" xfId="6005"/>
    <cellStyle name="Normal 70 31 2" xfId="10191"/>
    <cellStyle name="Normal 70 32" xfId="6102"/>
    <cellStyle name="Normal 70 32 2" xfId="10280"/>
    <cellStyle name="Normal 70 33" xfId="6194"/>
    <cellStyle name="Normal 70 33 2" xfId="10368"/>
    <cellStyle name="Normal 70 34" xfId="1414"/>
    <cellStyle name="Normal 70 35" xfId="6323"/>
    <cellStyle name="Normal 70 4" xfId="1730"/>
    <cellStyle name="Normal 70 4 2" xfId="3005"/>
    <cellStyle name="Normal 70 4 2 2" xfId="7444"/>
    <cellStyle name="Normal 70 4 3" xfId="6593"/>
    <cellStyle name="Normal 70 5" xfId="1876"/>
    <cellStyle name="Normal 70 5 2" xfId="3100"/>
    <cellStyle name="Normal 70 5 2 2" xfId="7538"/>
    <cellStyle name="Normal 70 5 3" xfId="6685"/>
    <cellStyle name="Normal 70 6" xfId="2209"/>
    <cellStyle name="Normal 70 7" xfId="2376"/>
    <cellStyle name="Normal 70 7 2" xfId="3314"/>
    <cellStyle name="Normal 70 7 2 2" xfId="7736"/>
    <cellStyle name="Normal 70 7 3" xfId="6871"/>
    <cellStyle name="Normal 70 8" xfId="2466"/>
    <cellStyle name="Normal 70 8 2" xfId="3403"/>
    <cellStyle name="Normal 70 8 2 2" xfId="7825"/>
    <cellStyle name="Normal 70 8 3" xfId="6959"/>
    <cellStyle name="Normal 70 9" xfId="2567"/>
    <cellStyle name="Normal 70 9 2" xfId="3493"/>
    <cellStyle name="Normal 70 9 2 2" xfId="7915"/>
    <cellStyle name="Normal 70 9 3" xfId="7046"/>
    <cellStyle name="Normal 71" xfId="747"/>
    <cellStyle name="Normal 71 10" xfId="2734"/>
    <cellStyle name="Normal 71 10 2" xfId="7175"/>
    <cellStyle name="Normal 71 11" xfId="3666"/>
    <cellStyle name="Normal 71 11 2" xfId="8069"/>
    <cellStyle name="Normal 71 12" xfId="3764"/>
    <cellStyle name="Normal 71 12 2" xfId="8159"/>
    <cellStyle name="Normal 71 13" xfId="3866"/>
    <cellStyle name="Normal 71 13 2" xfId="8255"/>
    <cellStyle name="Normal 71 14" xfId="3961"/>
    <cellStyle name="Normal 71 14 2" xfId="8343"/>
    <cellStyle name="Normal 71 15" xfId="4054"/>
    <cellStyle name="Normal 71 15 2" xfId="8432"/>
    <cellStyle name="Normal 71 16" xfId="4149"/>
    <cellStyle name="Normal 71 16 2" xfId="8519"/>
    <cellStyle name="Normal 71 17" xfId="4252"/>
    <cellStyle name="Normal 71 17 2" xfId="8613"/>
    <cellStyle name="Normal 71 18" xfId="4346"/>
    <cellStyle name="Normal 71 18 2" xfId="8702"/>
    <cellStyle name="Normal 71 19" xfId="4438"/>
    <cellStyle name="Normal 71 19 2" xfId="8789"/>
    <cellStyle name="Normal 71 2" xfId="1517"/>
    <cellStyle name="Normal 71 2 2" xfId="2826"/>
    <cellStyle name="Normal 71 2 2 2" xfId="7267"/>
    <cellStyle name="Normal 71 2 3" xfId="6415"/>
    <cellStyle name="Normal 71 20" xfId="4530"/>
    <cellStyle name="Normal 71 20 2" xfId="8877"/>
    <cellStyle name="Normal 71 21" xfId="4626"/>
    <cellStyle name="Normal 71 21 2" xfId="8966"/>
    <cellStyle name="Normal 71 22" xfId="4720"/>
    <cellStyle name="Normal 71 22 2" xfId="9054"/>
    <cellStyle name="Normal 71 23" xfId="4814"/>
    <cellStyle name="Normal 71 23 2" xfId="9143"/>
    <cellStyle name="Normal 71 24" xfId="4908"/>
    <cellStyle name="Normal 71 24 2" xfId="9231"/>
    <cellStyle name="Normal 71 25" xfId="5000"/>
    <cellStyle name="Normal 71 25 2" xfId="9320"/>
    <cellStyle name="Normal 71 26" xfId="5094"/>
    <cellStyle name="Normal 71 26 2" xfId="9408"/>
    <cellStyle name="Normal 71 27" xfId="5190"/>
    <cellStyle name="Normal 71 27 2" xfId="9495"/>
    <cellStyle name="Normal 71 28" xfId="5289"/>
    <cellStyle name="Normal 71 28 2" xfId="9588"/>
    <cellStyle name="Normal 71 29" xfId="5392"/>
    <cellStyle name="Normal 71 29 2" xfId="9679"/>
    <cellStyle name="Normal 71 3" xfId="1621"/>
    <cellStyle name="Normal 71 3 2" xfId="2916"/>
    <cellStyle name="Normal 71 3 2 2" xfId="7357"/>
    <cellStyle name="Normal 71 3 3" xfId="6505"/>
    <cellStyle name="Normal 71 30" xfId="5915"/>
    <cellStyle name="Normal 71 30 2" xfId="10105"/>
    <cellStyle name="Normal 71 31" xfId="6006"/>
    <cellStyle name="Normal 71 31 2" xfId="10192"/>
    <cellStyle name="Normal 71 32" xfId="6103"/>
    <cellStyle name="Normal 71 32 2" xfId="10281"/>
    <cellStyle name="Normal 71 33" xfId="6195"/>
    <cellStyle name="Normal 71 33 2" xfId="10369"/>
    <cellStyle name="Normal 71 34" xfId="1415"/>
    <cellStyle name="Normal 71 35" xfId="6324"/>
    <cellStyle name="Normal 71 4" xfId="1731"/>
    <cellStyle name="Normal 71 4 2" xfId="3006"/>
    <cellStyle name="Normal 71 4 2 2" xfId="7445"/>
    <cellStyle name="Normal 71 4 3" xfId="6594"/>
    <cellStyle name="Normal 71 5" xfId="1877"/>
    <cellStyle name="Normal 71 5 2" xfId="3101"/>
    <cellStyle name="Normal 71 5 2 2" xfId="7539"/>
    <cellStyle name="Normal 71 5 3" xfId="6686"/>
    <cellStyle name="Normal 71 6" xfId="2210"/>
    <cellStyle name="Normal 71 7" xfId="2377"/>
    <cellStyle name="Normal 71 7 2" xfId="3315"/>
    <cellStyle name="Normal 71 7 2 2" xfId="7737"/>
    <cellStyle name="Normal 71 7 3" xfId="6872"/>
    <cellStyle name="Normal 71 8" xfId="2467"/>
    <cellStyle name="Normal 71 8 2" xfId="3404"/>
    <cellStyle name="Normal 71 8 2 2" xfId="7826"/>
    <cellStyle name="Normal 71 8 3" xfId="6960"/>
    <cellStyle name="Normal 71 9" xfId="2568"/>
    <cellStyle name="Normal 71 9 2" xfId="3494"/>
    <cellStyle name="Normal 71 9 2 2" xfId="7916"/>
    <cellStyle name="Normal 71 9 3" xfId="7047"/>
    <cellStyle name="Normal 72" xfId="748"/>
    <cellStyle name="Normal 72 10" xfId="2735"/>
    <cellStyle name="Normal 72 10 2" xfId="7176"/>
    <cellStyle name="Normal 72 11" xfId="3667"/>
    <cellStyle name="Normal 72 11 2" xfId="8070"/>
    <cellStyle name="Normal 72 12" xfId="3765"/>
    <cellStyle name="Normal 72 12 2" xfId="8160"/>
    <cellStyle name="Normal 72 13" xfId="3867"/>
    <cellStyle name="Normal 72 13 2" xfId="8256"/>
    <cellStyle name="Normal 72 14" xfId="3962"/>
    <cellStyle name="Normal 72 14 2" xfId="8344"/>
    <cellStyle name="Normal 72 15" xfId="4055"/>
    <cellStyle name="Normal 72 15 2" xfId="8433"/>
    <cellStyle name="Normal 72 16" xfId="4150"/>
    <cellStyle name="Normal 72 16 2" xfId="8520"/>
    <cellStyle name="Normal 72 17" xfId="4253"/>
    <cellStyle name="Normal 72 17 2" xfId="8614"/>
    <cellStyle name="Normal 72 18" xfId="4347"/>
    <cellStyle name="Normal 72 18 2" xfId="8703"/>
    <cellStyle name="Normal 72 19" xfId="4439"/>
    <cellStyle name="Normal 72 19 2" xfId="8790"/>
    <cellStyle name="Normal 72 2" xfId="1518"/>
    <cellStyle name="Normal 72 2 2" xfId="2827"/>
    <cellStyle name="Normal 72 2 2 2" xfId="7268"/>
    <cellStyle name="Normal 72 2 3" xfId="6416"/>
    <cellStyle name="Normal 72 20" xfId="4531"/>
    <cellStyle name="Normal 72 20 2" xfId="8878"/>
    <cellStyle name="Normal 72 21" xfId="4627"/>
    <cellStyle name="Normal 72 21 2" xfId="8967"/>
    <cellStyle name="Normal 72 22" xfId="4721"/>
    <cellStyle name="Normal 72 22 2" xfId="9055"/>
    <cellStyle name="Normal 72 23" xfId="4815"/>
    <cellStyle name="Normal 72 23 2" xfId="9144"/>
    <cellStyle name="Normal 72 24" xfId="4909"/>
    <cellStyle name="Normal 72 24 2" xfId="9232"/>
    <cellStyle name="Normal 72 25" xfId="5001"/>
    <cellStyle name="Normal 72 25 2" xfId="9321"/>
    <cellStyle name="Normal 72 26" xfId="5095"/>
    <cellStyle name="Normal 72 26 2" xfId="9409"/>
    <cellStyle name="Normal 72 27" xfId="5191"/>
    <cellStyle name="Normal 72 27 2" xfId="9496"/>
    <cellStyle name="Normal 72 28" xfId="5290"/>
    <cellStyle name="Normal 72 28 2" xfId="9589"/>
    <cellStyle name="Normal 72 29" xfId="5393"/>
    <cellStyle name="Normal 72 29 2" xfId="9680"/>
    <cellStyle name="Normal 72 3" xfId="1622"/>
    <cellStyle name="Normal 72 3 2" xfId="2917"/>
    <cellStyle name="Normal 72 3 2 2" xfId="7358"/>
    <cellStyle name="Normal 72 3 3" xfId="6506"/>
    <cellStyle name="Normal 72 30" xfId="5916"/>
    <cellStyle name="Normal 72 30 2" xfId="10106"/>
    <cellStyle name="Normal 72 31" xfId="6007"/>
    <cellStyle name="Normal 72 31 2" xfId="10193"/>
    <cellStyle name="Normal 72 32" xfId="6104"/>
    <cellStyle name="Normal 72 32 2" xfId="10282"/>
    <cellStyle name="Normal 72 33" xfId="6196"/>
    <cellStyle name="Normal 72 33 2" xfId="10370"/>
    <cellStyle name="Normal 72 34" xfId="1416"/>
    <cellStyle name="Normal 72 35" xfId="6325"/>
    <cellStyle name="Normal 72 4" xfId="1732"/>
    <cellStyle name="Normal 72 4 2" xfId="3007"/>
    <cellStyle name="Normal 72 4 2 2" xfId="7446"/>
    <cellStyle name="Normal 72 4 3" xfId="6595"/>
    <cellStyle name="Normal 72 5" xfId="1878"/>
    <cellStyle name="Normal 72 5 2" xfId="3102"/>
    <cellStyle name="Normal 72 5 2 2" xfId="7540"/>
    <cellStyle name="Normal 72 5 3" xfId="6687"/>
    <cellStyle name="Normal 72 6" xfId="2211"/>
    <cellStyle name="Normal 72 7" xfId="2378"/>
    <cellStyle name="Normal 72 7 2" xfId="3316"/>
    <cellStyle name="Normal 72 7 2 2" xfId="7738"/>
    <cellStyle name="Normal 72 7 3" xfId="6873"/>
    <cellStyle name="Normal 72 8" xfId="2468"/>
    <cellStyle name="Normal 72 8 2" xfId="3405"/>
    <cellStyle name="Normal 72 8 2 2" xfId="7827"/>
    <cellStyle name="Normal 72 8 3" xfId="6961"/>
    <cellStyle name="Normal 72 9" xfId="2569"/>
    <cellStyle name="Normal 72 9 2" xfId="3495"/>
    <cellStyle name="Normal 72 9 2 2" xfId="7917"/>
    <cellStyle name="Normal 72 9 3" xfId="7048"/>
    <cellStyle name="Normal 73" xfId="749"/>
    <cellStyle name="Normal 73 10" xfId="2736"/>
    <cellStyle name="Normal 73 10 2" xfId="7177"/>
    <cellStyle name="Normal 73 11" xfId="3668"/>
    <cellStyle name="Normal 73 11 2" xfId="8071"/>
    <cellStyle name="Normal 73 12" xfId="3766"/>
    <cellStyle name="Normal 73 12 2" xfId="8161"/>
    <cellStyle name="Normal 73 13" xfId="3868"/>
    <cellStyle name="Normal 73 13 2" xfId="8257"/>
    <cellStyle name="Normal 73 14" xfId="3963"/>
    <cellStyle name="Normal 73 14 2" xfId="8345"/>
    <cellStyle name="Normal 73 15" xfId="4056"/>
    <cellStyle name="Normal 73 15 2" xfId="8434"/>
    <cellStyle name="Normal 73 16" xfId="4151"/>
    <cellStyle name="Normal 73 16 2" xfId="8521"/>
    <cellStyle name="Normal 73 17" xfId="4254"/>
    <cellStyle name="Normal 73 17 2" xfId="8615"/>
    <cellStyle name="Normal 73 18" xfId="4348"/>
    <cellStyle name="Normal 73 18 2" xfId="8704"/>
    <cellStyle name="Normal 73 19" xfId="4440"/>
    <cellStyle name="Normal 73 19 2" xfId="8791"/>
    <cellStyle name="Normal 73 2" xfId="1519"/>
    <cellStyle name="Normal 73 2 2" xfId="2828"/>
    <cellStyle name="Normal 73 2 2 2" xfId="7269"/>
    <cellStyle name="Normal 73 2 3" xfId="6417"/>
    <cellStyle name="Normal 73 20" xfId="4532"/>
    <cellStyle name="Normal 73 20 2" xfId="8879"/>
    <cellStyle name="Normal 73 21" xfId="4628"/>
    <cellStyle name="Normal 73 21 2" xfId="8968"/>
    <cellStyle name="Normal 73 22" xfId="4722"/>
    <cellStyle name="Normal 73 22 2" xfId="9056"/>
    <cellStyle name="Normal 73 23" xfId="4816"/>
    <cellStyle name="Normal 73 23 2" xfId="9145"/>
    <cellStyle name="Normal 73 24" xfId="4910"/>
    <cellStyle name="Normal 73 24 2" xfId="9233"/>
    <cellStyle name="Normal 73 25" xfId="5002"/>
    <cellStyle name="Normal 73 25 2" xfId="9322"/>
    <cellStyle name="Normal 73 26" xfId="5096"/>
    <cellStyle name="Normal 73 26 2" xfId="9410"/>
    <cellStyle name="Normal 73 27" xfId="5192"/>
    <cellStyle name="Normal 73 27 2" xfId="9497"/>
    <cellStyle name="Normal 73 28" xfId="5291"/>
    <cellStyle name="Normal 73 28 2" xfId="9590"/>
    <cellStyle name="Normal 73 29" xfId="5394"/>
    <cellStyle name="Normal 73 29 2" xfId="9681"/>
    <cellStyle name="Normal 73 3" xfId="1623"/>
    <cellStyle name="Normal 73 3 2" xfId="2918"/>
    <cellStyle name="Normal 73 3 2 2" xfId="7359"/>
    <cellStyle name="Normal 73 3 3" xfId="6507"/>
    <cellStyle name="Normal 73 30" xfId="5917"/>
    <cellStyle name="Normal 73 30 2" xfId="10107"/>
    <cellStyle name="Normal 73 31" xfId="6008"/>
    <cellStyle name="Normal 73 31 2" xfId="10194"/>
    <cellStyle name="Normal 73 32" xfId="6105"/>
    <cellStyle name="Normal 73 32 2" xfId="10283"/>
    <cellStyle name="Normal 73 33" xfId="6197"/>
    <cellStyle name="Normal 73 33 2" xfId="10371"/>
    <cellStyle name="Normal 73 34" xfId="1417"/>
    <cellStyle name="Normal 73 35" xfId="6326"/>
    <cellStyle name="Normal 73 4" xfId="1733"/>
    <cellStyle name="Normal 73 4 2" xfId="3008"/>
    <cellStyle name="Normal 73 4 2 2" xfId="7447"/>
    <cellStyle name="Normal 73 4 3" xfId="6596"/>
    <cellStyle name="Normal 73 5" xfId="1879"/>
    <cellStyle name="Normal 73 5 2" xfId="3103"/>
    <cellStyle name="Normal 73 5 2 2" xfId="7541"/>
    <cellStyle name="Normal 73 5 3" xfId="6688"/>
    <cellStyle name="Normal 73 6" xfId="2212"/>
    <cellStyle name="Normal 73 7" xfId="2379"/>
    <cellStyle name="Normal 73 7 2" xfId="3317"/>
    <cellStyle name="Normal 73 7 2 2" xfId="7739"/>
    <cellStyle name="Normal 73 7 3" xfId="6874"/>
    <cellStyle name="Normal 73 8" xfId="2469"/>
    <cellStyle name="Normal 73 8 2" xfId="3406"/>
    <cellStyle name="Normal 73 8 2 2" xfId="7828"/>
    <cellStyle name="Normal 73 8 3" xfId="6962"/>
    <cellStyle name="Normal 73 9" xfId="2570"/>
    <cellStyle name="Normal 73 9 2" xfId="3496"/>
    <cellStyle name="Normal 73 9 2 2" xfId="7918"/>
    <cellStyle name="Normal 73 9 3" xfId="7049"/>
    <cellStyle name="Normal 74" xfId="750"/>
    <cellStyle name="Normal 74 10" xfId="2737"/>
    <cellStyle name="Normal 74 10 2" xfId="7178"/>
    <cellStyle name="Normal 74 11" xfId="3669"/>
    <cellStyle name="Normal 74 11 2" xfId="8072"/>
    <cellStyle name="Normal 74 12" xfId="3767"/>
    <cellStyle name="Normal 74 12 2" xfId="8162"/>
    <cellStyle name="Normal 74 13" xfId="3869"/>
    <cellStyle name="Normal 74 13 2" xfId="8258"/>
    <cellStyle name="Normal 74 14" xfId="3964"/>
    <cellStyle name="Normal 74 14 2" xfId="8346"/>
    <cellStyle name="Normal 74 15" xfId="4057"/>
    <cellStyle name="Normal 74 15 2" xfId="8435"/>
    <cellStyle name="Normal 74 16" xfId="4152"/>
    <cellStyle name="Normal 74 16 2" xfId="8522"/>
    <cellStyle name="Normal 74 17" xfId="4255"/>
    <cellStyle name="Normal 74 17 2" xfId="8616"/>
    <cellStyle name="Normal 74 18" xfId="4349"/>
    <cellStyle name="Normal 74 18 2" xfId="8705"/>
    <cellStyle name="Normal 74 19" xfId="4441"/>
    <cellStyle name="Normal 74 19 2" xfId="8792"/>
    <cellStyle name="Normal 74 2" xfId="1520"/>
    <cellStyle name="Normal 74 2 2" xfId="2829"/>
    <cellStyle name="Normal 74 2 2 2" xfId="7270"/>
    <cellStyle name="Normal 74 2 3" xfId="6418"/>
    <cellStyle name="Normal 74 20" xfId="4533"/>
    <cellStyle name="Normal 74 20 2" xfId="8880"/>
    <cellStyle name="Normal 74 21" xfId="4629"/>
    <cellStyle name="Normal 74 21 2" xfId="8969"/>
    <cellStyle name="Normal 74 22" xfId="4723"/>
    <cellStyle name="Normal 74 22 2" xfId="9057"/>
    <cellStyle name="Normal 74 23" xfId="4817"/>
    <cellStyle name="Normal 74 23 2" xfId="9146"/>
    <cellStyle name="Normal 74 24" xfId="4911"/>
    <cellStyle name="Normal 74 24 2" xfId="9234"/>
    <cellStyle name="Normal 74 25" xfId="5003"/>
    <cellStyle name="Normal 74 25 2" xfId="9323"/>
    <cellStyle name="Normal 74 26" xfId="5097"/>
    <cellStyle name="Normal 74 26 2" xfId="9411"/>
    <cellStyle name="Normal 74 27" xfId="5193"/>
    <cellStyle name="Normal 74 27 2" xfId="9498"/>
    <cellStyle name="Normal 74 28" xfId="5292"/>
    <cellStyle name="Normal 74 28 2" xfId="9591"/>
    <cellStyle name="Normal 74 29" xfId="5395"/>
    <cellStyle name="Normal 74 29 2" xfId="9682"/>
    <cellStyle name="Normal 74 3" xfId="1624"/>
    <cellStyle name="Normal 74 3 2" xfId="2919"/>
    <cellStyle name="Normal 74 3 2 2" xfId="7360"/>
    <cellStyle name="Normal 74 3 3" xfId="6508"/>
    <cellStyle name="Normal 74 30" xfId="5918"/>
    <cellStyle name="Normal 74 30 2" xfId="10108"/>
    <cellStyle name="Normal 74 31" xfId="6009"/>
    <cellStyle name="Normal 74 31 2" xfId="10195"/>
    <cellStyle name="Normal 74 32" xfId="6106"/>
    <cellStyle name="Normal 74 32 2" xfId="10284"/>
    <cellStyle name="Normal 74 33" xfId="6198"/>
    <cellStyle name="Normal 74 33 2" xfId="10372"/>
    <cellStyle name="Normal 74 34" xfId="1418"/>
    <cellStyle name="Normal 74 35" xfId="6327"/>
    <cellStyle name="Normal 74 4" xfId="1734"/>
    <cellStyle name="Normal 74 4 2" xfId="3009"/>
    <cellStyle name="Normal 74 4 2 2" xfId="7448"/>
    <cellStyle name="Normal 74 4 3" xfId="6597"/>
    <cellStyle name="Normal 74 5" xfId="1880"/>
    <cellStyle name="Normal 74 5 2" xfId="3104"/>
    <cellStyle name="Normal 74 5 2 2" xfId="7542"/>
    <cellStyle name="Normal 74 5 3" xfId="6689"/>
    <cellStyle name="Normal 74 6" xfId="2213"/>
    <cellStyle name="Normal 74 7" xfId="2380"/>
    <cellStyle name="Normal 74 7 2" xfId="3318"/>
    <cellStyle name="Normal 74 7 2 2" xfId="7740"/>
    <cellStyle name="Normal 74 7 3" xfId="6875"/>
    <cellStyle name="Normal 74 8" xfId="2470"/>
    <cellStyle name="Normal 74 8 2" xfId="3407"/>
    <cellStyle name="Normal 74 8 2 2" xfId="7829"/>
    <cellStyle name="Normal 74 8 3" xfId="6963"/>
    <cellStyle name="Normal 74 9" xfId="2571"/>
    <cellStyle name="Normal 74 9 2" xfId="3497"/>
    <cellStyle name="Normal 74 9 2 2" xfId="7919"/>
    <cellStyle name="Normal 74 9 3" xfId="7050"/>
    <cellStyle name="Normal 75" xfId="751"/>
    <cellStyle name="Normal 75 10" xfId="2738"/>
    <cellStyle name="Normal 75 10 2" xfId="7179"/>
    <cellStyle name="Normal 75 11" xfId="3670"/>
    <cellStyle name="Normal 75 11 2" xfId="8073"/>
    <cellStyle name="Normal 75 12" xfId="3768"/>
    <cellStyle name="Normal 75 12 2" xfId="8163"/>
    <cellStyle name="Normal 75 13" xfId="3870"/>
    <cellStyle name="Normal 75 13 2" xfId="8259"/>
    <cellStyle name="Normal 75 14" xfId="3965"/>
    <cellStyle name="Normal 75 14 2" xfId="8347"/>
    <cellStyle name="Normal 75 15" xfId="4058"/>
    <cellStyle name="Normal 75 15 2" xfId="8436"/>
    <cellStyle name="Normal 75 16" xfId="4153"/>
    <cellStyle name="Normal 75 16 2" xfId="8523"/>
    <cellStyle name="Normal 75 17" xfId="4256"/>
    <cellStyle name="Normal 75 17 2" xfId="8617"/>
    <cellStyle name="Normal 75 18" xfId="4350"/>
    <cellStyle name="Normal 75 18 2" xfId="8706"/>
    <cellStyle name="Normal 75 19" xfId="4442"/>
    <cellStyle name="Normal 75 19 2" xfId="8793"/>
    <cellStyle name="Normal 75 2" xfId="1521"/>
    <cellStyle name="Normal 75 2 2" xfId="2830"/>
    <cellStyle name="Normal 75 2 2 2" xfId="7271"/>
    <cellStyle name="Normal 75 2 3" xfId="6419"/>
    <cellStyle name="Normal 75 20" xfId="4534"/>
    <cellStyle name="Normal 75 20 2" xfId="8881"/>
    <cellStyle name="Normal 75 21" xfId="4630"/>
    <cellStyle name="Normal 75 21 2" xfId="8970"/>
    <cellStyle name="Normal 75 22" xfId="4724"/>
    <cellStyle name="Normal 75 22 2" xfId="9058"/>
    <cellStyle name="Normal 75 23" xfId="4818"/>
    <cellStyle name="Normal 75 23 2" xfId="9147"/>
    <cellStyle name="Normal 75 24" xfId="4912"/>
    <cellStyle name="Normal 75 24 2" xfId="9235"/>
    <cellStyle name="Normal 75 25" xfId="5004"/>
    <cellStyle name="Normal 75 25 2" xfId="9324"/>
    <cellStyle name="Normal 75 26" xfId="5098"/>
    <cellStyle name="Normal 75 26 2" xfId="9412"/>
    <cellStyle name="Normal 75 27" xfId="5194"/>
    <cellStyle name="Normal 75 27 2" xfId="9499"/>
    <cellStyle name="Normal 75 28" xfId="5293"/>
    <cellStyle name="Normal 75 28 2" xfId="9592"/>
    <cellStyle name="Normal 75 29" xfId="5396"/>
    <cellStyle name="Normal 75 29 2" xfId="9683"/>
    <cellStyle name="Normal 75 3" xfId="1625"/>
    <cellStyle name="Normal 75 3 2" xfId="2920"/>
    <cellStyle name="Normal 75 3 2 2" xfId="7361"/>
    <cellStyle name="Normal 75 3 3" xfId="6509"/>
    <cellStyle name="Normal 75 30" xfId="5919"/>
    <cellStyle name="Normal 75 30 2" xfId="10109"/>
    <cellStyle name="Normal 75 31" xfId="6010"/>
    <cellStyle name="Normal 75 31 2" xfId="10196"/>
    <cellStyle name="Normal 75 32" xfId="6107"/>
    <cellStyle name="Normal 75 32 2" xfId="10285"/>
    <cellStyle name="Normal 75 33" xfId="6199"/>
    <cellStyle name="Normal 75 33 2" xfId="10373"/>
    <cellStyle name="Normal 75 34" xfId="1419"/>
    <cellStyle name="Normal 75 35" xfId="6328"/>
    <cellStyle name="Normal 75 4" xfId="1735"/>
    <cellStyle name="Normal 75 4 2" xfId="3010"/>
    <cellStyle name="Normal 75 4 2 2" xfId="7449"/>
    <cellStyle name="Normal 75 4 3" xfId="6598"/>
    <cellStyle name="Normal 75 5" xfId="1881"/>
    <cellStyle name="Normal 75 5 2" xfId="3105"/>
    <cellStyle name="Normal 75 5 2 2" xfId="7543"/>
    <cellStyle name="Normal 75 5 3" xfId="6690"/>
    <cellStyle name="Normal 75 6" xfId="2214"/>
    <cellStyle name="Normal 75 7" xfId="2381"/>
    <cellStyle name="Normal 75 7 2" xfId="3319"/>
    <cellStyle name="Normal 75 7 2 2" xfId="7741"/>
    <cellStyle name="Normal 75 7 3" xfId="6876"/>
    <cellStyle name="Normal 75 8" xfId="2471"/>
    <cellStyle name="Normal 75 8 2" xfId="3408"/>
    <cellStyle name="Normal 75 8 2 2" xfId="7830"/>
    <cellStyle name="Normal 75 8 3" xfId="6964"/>
    <cellStyle name="Normal 75 9" xfId="2572"/>
    <cellStyle name="Normal 75 9 2" xfId="3498"/>
    <cellStyle name="Normal 75 9 2 2" xfId="7920"/>
    <cellStyle name="Normal 75 9 3" xfId="7051"/>
    <cellStyle name="Normal 76" xfId="752"/>
    <cellStyle name="Normal 76 10" xfId="2739"/>
    <cellStyle name="Normal 76 10 2" xfId="7180"/>
    <cellStyle name="Normal 76 11" xfId="3671"/>
    <cellStyle name="Normal 76 11 2" xfId="8074"/>
    <cellStyle name="Normal 76 12" xfId="3769"/>
    <cellStyle name="Normal 76 12 2" xfId="8164"/>
    <cellStyle name="Normal 76 13" xfId="3871"/>
    <cellStyle name="Normal 76 13 2" xfId="8260"/>
    <cellStyle name="Normal 76 14" xfId="3966"/>
    <cellStyle name="Normal 76 14 2" xfId="8348"/>
    <cellStyle name="Normal 76 15" xfId="4059"/>
    <cellStyle name="Normal 76 15 2" xfId="8437"/>
    <cellStyle name="Normal 76 16" xfId="4154"/>
    <cellStyle name="Normal 76 16 2" xfId="8524"/>
    <cellStyle name="Normal 76 17" xfId="4257"/>
    <cellStyle name="Normal 76 17 2" xfId="8618"/>
    <cellStyle name="Normal 76 18" xfId="4351"/>
    <cellStyle name="Normal 76 18 2" xfId="8707"/>
    <cellStyle name="Normal 76 19" xfId="4443"/>
    <cellStyle name="Normal 76 19 2" xfId="8794"/>
    <cellStyle name="Normal 76 2" xfId="1522"/>
    <cellStyle name="Normal 76 2 2" xfId="2831"/>
    <cellStyle name="Normal 76 2 2 2" xfId="7272"/>
    <cellStyle name="Normal 76 2 3" xfId="6420"/>
    <cellStyle name="Normal 76 20" xfId="4535"/>
    <cellStyle name="Normal 76 20 2" xfId="8882"/>
    <cellStyle name="Normal 76 21" xfId="4631"/>
    <cellStyle name="Normal 76 21 2" xfId="8971"/>
    <cellStyle name="Normal 76 22" xfId="4725"/>
    <cellStyle name="Normal 76 22 2" xfId="9059"/>
    <cellStyle name="Normal 76 23" xfId="4819"/>
    <cellStyle name="Normal 76 23 2" xfId="9148"/>
    <cellStyle name="Normal 76 24" xfId="4913"/>
    <cellStyle name="Normal 76 24 2" xfId="9236"/>
    <cellStyle name="Normal 76 25" xfId="5005"/>
    <cellStyle name="Normal 76 25 2" xfId="9325"/>
    <cellStyle name="Normal 76 26" xfId="5099"/>
    <cellStyle name="Normal 76 26 2" xfId="9413"/>
    <cellStyle name="Normal 76 27" xfId="5195"/>
    <cellStyle name="Normal 76 27 2" xfId="9500"/>
    <cellStyle name="Normal 76 28" xfId="5294"/>
    <cellStyle name="Normal 76 28 2" xfId="9593"/>
    <cellStyle name="Normal 76 29" xfId="5397"/>
    <cellStyle name="Normal 76 29 2" xfId="9684"/>
    <cellStyle name="Normal 76 3" xfId="1626"/>
    <cellStyle name="Normal 76 3 2" xfId="2921"/>
    <cellStyle name="Normal 76 3 2 2" xfId="7362"/>
    <cellStyle name="Normal 76 3 3" xfId="6510"/>
    <cellStyle name="Normal 76 30" xfId="5920"/>
    <cellStyle name="Normal 76 30 2" xfId="10110"/>
    <cellStyle name="Normal 76 31" xfId="6011"/>
    <cellStyle name="Normal 76 31 2" xfId="10197"/>
    <cellStyle name="Normal 76 32" xfId="6108"/>
    <cellStyle name="Normal 76 32 2" xfId="10286"/>
    <cellStyle name="Normal 76 33" xfId="6200"/>
    <cellStyle name="Normal 76 33 2" xfId="10374"/>
    <cellStyle name="Normal 76 34" xfId="1420"/>
    <cellStyle name="Normal 76 35" xfId="6329"/>
    <cellStyle name="Normal 76 4" xfId="1736"/>
    <cellStyle name="Normal 76 4 2" xfId="3011"/>
    <cellStyle name="Normal 76 4 2 2" xfId="7450"/>
    <cellStyle name="Normal 76 4 3" xfId="6599"/>
    <cellStyle name="Normal 76 5" xfId="1882"/>
    <cellStyle name="Normal 76 5 2" xfId="3106"/>
    <cellStyle name="Normal 76 5 2 2" xfId="7544"/>
    <cellStyle name="Normal 76 5 3" xfId="6691"/>
    <cellStyle name="Normal 76 6" xfId="2215"/>
    <cellStyle name="Normal 76 7" xfId="2382"/>
    <cellStyle name="Normal 76 7 2" xfId="3320"/>
    <cellStyle name="Normal 76 7 2 2" xfId="7742"/>
    <cellStyle name="Normal 76 7 3" xfId="6877"/>
    <cellStyle name="Normal 76 8" xfId="2472"/>
    <cellStyle name="Normal 76 8 2" xfId="3409"/>
    <cellStyle name="Normal 76 8 2 2" xfId="7831"/>
    <cellStyle name="Normal 76 8 3" xfId="6965"/>
    <cellStyle name="Normal 76 9" xfId="2573"/>
    <cellStyle name="Normal 76 9 2" xfId="3499"/>
    <cellStyle name="Normal 76 9 2 2" xfId="7921"/>
    <cellStyle name="Normal 76 9 3" xfId="7052"/>
    <cellStyle name="Normal 77" xfId="753"/>
    <cellStyle name="Normal 77 10" xfId="2740"/>
    <cellStyle name="Normal 77 10 2" xfId="7181"/>
    <cellStyle name="Normal 77 11" xfId="3672"/>
    <cellStyle name="Normal 77 11 2" xfId="8075"/>
    <cellStyle name="Normal 77 12" xfId="3770"/>
    <cellStyle name="Normal 77 12 2" xfId="8165"/>
    <cellStyle name="Normal 77 13" xfId="3872"/>
    <cellStyle name="Normal 77 13 2" xfId="8261"/>
    <cellStyle name="Normal 77 14" xfId="3967"/>
    <cellStyle name="Normal 77 14 2" xfId="8349"/>
    <cellStyle name="Normal 77 15" xfId="4060"/>
    <cellStyle name="Normal 77 15 2" xfId="8438"/>
    <cellStyle name="Normal 77 16" xfId="4155"/>
    <cellStyle name="Normal 77 16 2" xfId="8525"/>
    <cellStyle name="Normal 77 17" xfId="4258"/>
    <cellStyle name="Normal 77 17 2" xfId="8619"/>
    <cellStyle name="Normal 77 18" xfId="4352"/>
    <cellStyle name="Normal 77 18 2" xfId="8708"/>
    <cellStyle name="Normal 77 19" xfId="4444"/>
    <cellStyle name="Normal 77 19 2" xfId="8795"/>
    <cellStyle name="Normal 77 2" xfId="1523"/>
    <cellStyle name="Normal 77 2 2" xfId="2832"/>
    <cellStyle name="Normal 77 2 2 2" xfId="7273"/>
    <cellStyle name="Normal 77 2 3" xfId="6421"/>
    <cellStyle name="Normal 77 20" xfId="4536"/>
    <cellStyle name="Normal 77 20 2" xfId="8883"/>
    <cellStyle name="Normal 77 21" xfId="4632"/>
    <cellStyle name="Normal 77 21 2" xfId="8972"/>
    <cellStyle name="Normal 77 22" xfId="4726"/>
    <cellStyle name="Normal 77 22 2" xfId="9060"/>
    <cellStyle name="Normal 77 23" xfId="4820"/>
    <cellStyle name="Normal 77 23 2" xfId="9149"/>
    <cellStyle name="Normal 77 24" xfId="4914"/>
    <cellStyle name="Normal 77 24 2" xfId="9237"/>
    <cellStyle name="Normal 77 25" xfId="5006"/>
    <cellStyle name="Normal 77 25 2" xfId="9326"/>
    <cellStyle name="Normal 77 26" xfId="5100"/>
    <cellStyle name="Normal 77 26 2" xfId="9414"/>
    <cellStyle name="Normal 77 27" xfId="5196"/>
    <cellStyle name="Normal 77 27 2" xfId="9501"/>
    <cellStyle name="Normal 77 28" xfId="5295"/>
    <cellStyle name="Normal 77 28 2" xfId="9594"/>
    <cellStyle name="Normal 77 29" xfId="5398"/>
    <cellStyle name="Normal 77 29 2" xfId="9685"/>
    <cellStyle name="Normal 77 3" xfId="1627"/>
    <cellStyle name="Normal 77 3 2" xfId="2922"/>
    <cellStyle name="Normal 77 3 2 2" xfId="7363"/>
    <cellStyle name="Normal 77 3 3" xfId="6511"/>
    <cellStyle name="Normal 77 30" xfId="5921"/>
    <cellStyle name="Normal 77 30 2" xfId="10111"/>
    <cellStyle name="Normal 77 31" xfId="6012"/>
    <cellStyle name="Normal 77 31 2" xfId="10198"/>
    <cellStyle name="Normal 77 32" xfId="6109"/>
    <cellStyle name="Normal 77 32 2" xfId="10287"/>
    <cellStyle name="Normal 77 33" xfId="6201"/>
    <cellStyle name="Normal 77 33 2" xfId="10375"/>
    <cellStyle name="Normal 77 34" xfId="1421"/>
    <cellStyle name="Normal 77 35" xfId="6330"/>
    <cellStyle name="Normal 77 4" xfId="1737"/>
    <cellStyle name="Normal 77 4 2" xfId="3012"/>
    <cellStyle name="Normal 77 4 2 2" xfId="7451"/>
    <cellStyle name="Normal 77 4 3" xfId="6600"/>
    <cellStyle name="Normal 77 5" xfId="1883"/>
    <cellStyle name="Normal 77 5 2" xfId="3107"/>
    <cellStyle name="Normal 77 5 2 2" xfId="7545"/>
    <cellStyle name="Normal 77 5 3" xfId="6692"/>
    <cellStyle name="Normal 77 6" xfId="2216"/>
    <cellStyle name="Normal 77 7" xfId="2383"/>
    <cellStyle name="Normal 77 7 2" xfId="3321"/>
    <cellStyle name="Normal 77 7 2 2" xfId="7743"/>
    <cellStyle name="Normal 77 7 3" xfId="6878"/>
    <cellStyle name="Normal 77 8" xfId="2473"/>
    <cellStyle name="Normal 77 8 2" xfId="3410"/>
    <cellStyle name="Normal 77 8 2 2" xfId="7832"/>
    <cellStyle name="Normal 77 8 3" xfId="6966"/>
    <cellStyle name="Normal 77 9" xfId="2574"/>
    <cellStyle name="Normal 77 9 2" xfId="3500"/>
    <cellStyle name="Normal 77 9 2 2" xfId="7922"/>
    <cellStyle name="Normal 77 9 3" xfId="7053"/>
    <cellStyle name="Normal 78" xfId="754"/>
    <cellStyle name="Normal 78 10" xfId="2741"/>
    <cellStyle name="Normal 78 10 2" xfId="7182"/>
    <cellStyle name="Normal 78 11" xfId="3673"/>
    <cellStyle name="Normal 78 11 2" xfId="8076"/>
    <cellStyle name="Normal 78 12" xfId="3771"/>
    <cellStyle name="Normal 78 12 2" xfId="8166"/>
    <cellStyle name="Normal 78 13" xfId="3873"/>
    <cellStyle name="Normal 78 13 2" xfId="8262"/>
    <cellStyle name="Normal 78 14" xfId="3968"/>
    <cellStyle name="Normal 78 14 2" xfId="8350"/>
    <cellStyle name="Normal 78 15" xfId="4061"/>
    <cellStyle name="Normal 78 15 2" xfId="8439"/>
    <cellStyle name="Normal 78 16" xfId="4156"/>
    <cellStyle name="Normal 78 16 2" xfId="8526"/>
    <cellStyle name="Normal 78 17" xfId="4259"/>
    <cellStyle name="Normal 78 17 2" xfId="8620"/>
    <cellStyle name="Normal 78 18" xfId="4353"/>
    <cellStyle name="Normal 78 18 2" xfId="8709"/>
    <cellStyle name="Normal 78 19" xfId="4445"/>
    <cellStyle name="Normal 78 19 2" xfId="8796"/>
    <cellStyle name="Normal 78 2" xfId="1524"/>
    <cellStyle name="Normal 78 2 2" xfId="2833"/>
    <cellStyle name="Normal 78 2 2 2" xfId="7274"/>
    <cellStyle name="Normal 78 2 3" xfId="6422"/>
    <cellStyle name="Normal 78 20" xfId="4537"/>
    <cellStyle name="Normal 78 20 2" xfId="8884"/>
    <cellStyle name="Normal 78 21" xfId="4633"/>
    <cellStyle name="Normal 78 21 2" xfId="8973"/>
    <cellStyle name="Normal 78 22" xfId="4727"/>
    <cellStyle name="Normal 78 22 2" xfId="9061"/>
    <cellStyle name="Normal 78 23" xfId="4821"/>
    <cellStyle name="Normal 78 23 2" xfId="9150"/>
    <cellStyle name="Normal 78 24" xfId="4915"/>
    <cellStyle name="Normal 78 24 2" xfId="9238"/>
    <cellStyle name="Normal 78 25" xfId="5007"/>
    <cellStyle name="Normal 78 25 2" xfId="9327"/>
    <cellStyle name="Normal 78 26" xfId="5101"/>
    <cellStyle name="Normal 78 26 2" xfId="9415"/>
    <cellStyle name="Normal 78 27" xfId="5197"/>
    <cellStyle name="Normal 78 27 2" xfId="9502"/>
    <cellStyle name="Normal 78 28" xfId="5296"/>
    <cellStyle name="Normal 78 28 2" xfId="9595"/>
    <cellStyle name="Normal 78 29" xfId="5399"/>
    <cellStyle name="Normal 78 29 2" xfId="9686"/>
    <cellStyle name="Normal 78 3" xfId="1628"/>
    <cellStyle name="Normal 78 3 2" xfId="2923"/>
    <cellStyle name="Normal 78 3 2 2" xfId="7364"/>
    <cellStyle name="Normal 78 3 3" xfId="6512"/>
    <cellStyle name="Normal 78 30" xfId="5922"/>
    <cellStyle name="Normal 78 30 2" xfId="10112"/>
    <cellStyle name="Normal 78 31" xfId="6013"/>
    <cellStyle name="Normal 78 31 2" xfId="10199"/>
    <cellStyle name="Normal 78 32" xfId="6110"/>
    <cellStyle name="Normal 78 32 2" xfId="10288"/>
    <cellStyle name="Normal 78 33" xfId="6202"/>
    <cellStyle name="Normal 78 33 2" xfId="10376"/>
    <cellStyle name="Normal 78 34" xfId="1422"/>
    <cellStyle name="Normal 78 35" xfId="6331"/>
    <cellStyle name="Normal 78 4" xfId="1738"/>
    <cellStyle name="Normal 78 4 2" xfId="3013"/>
    <cellStyle name="Normal 78 4 2 2" xfId="7452"/>
    <cellStyle name="Normal 78 4 3" xfId="6601"/>
    <cellStyle name="Normal 78 5" xfId="1884"/>
    <cellStyle name="Normal 78 5 2" xfId="3108"/>
    <cellStyle name="Normal 78 5 2 2" xfId="7546"/>
    <cellStyle name="Normal 78 5 3" xfId="6693"/>
    <cellStyle name="Normal 78 6" xfId="2217"/>
    <cellStyle name="Normal 78 7" xfId="2384"/>
    <cellStyle name="Normal 78 7 2" xfId="3322"/>
    <cellStyle name="Normal 78 7 2 2" xfId="7744"/>
    <cellStyle name="Normal 78 7 3" xfId="6879"/>
    <cellStyle name="Normal 78 8" xfId="2474"/>
    <cellStyle name="Normal 78 8 2" xfId="3411"/>
    <cellStyle name="Normal 78 8 2 2" xfId="7833"/>
    <cellStyle name="Normal 78 8 3" xfId="6967"/>
    <cellStyle name="Normal 78 9" xfId="2575"/>
    <cellStyle name="Normal 78 9 2" xfId="3501"/>
    <cellStyle name="Normal 78 9 2 2" xfId="7923"/>
    <cellStyle name="Normal 78 9 3" xfId="7054"/>
    <cellStyle name="Normal 79" xfId="755"/>
    <cellStyle name="Normal 79 10" xfId="2742"/>
    <cellStyle name="Normal 79 10 2" xfId="7183"/>
    <cellStyle name="Normal 79 11" xfId="3674"/>
    <cellStyle name="Normal 79 11 2" xfId="8077"/>
    <cellStyle name="Normal 79 12" xfId="3772"/>
    <cellStyle name="Normal 79 12 2" xfId="8167"/>
    <cellStyle name="Normal 79 13" xfId="3874"/>
    <cellStyle name="Normal 79 13 2" xfId="8263"/>
    <cellStyle name="Normal 79 14" xfId="3969"/>
    <cellStyle name="Normal 79 14 2" xfId="8351"/>
    <cellStyle name="Normal 79 15" xfId="4062"/>
    <cellStyle name="Normal 79 15 2" xfId="8440"/>
    <cellStyle name="Normal 79 16" xfId="4157"/>
    <cellStyle name="Normal 79 16 2" xfId="8527"/>
    <cellStyle name="Normal 79 17" xfId="4260"/>
    <cellStyle name="Normal 79 17 2" xfId="8621"/>
    <cellStyle name="Normal 79 18" xfId="4354"/>
    <cellStyle name="Normal 79 18 2" xfId="8710"/>
    <cellStyle name="Normal 79 19" xfId="4446"/>
    <cellStyle name="Normal 79 19 2" xfId="8797"/>
    <cellStyle name="Normal 79 2" xfId="1525"/>
    <cellStyle name="Normal 79 2 2" xfId="2834"/>
    <cellStyle name="Normal 79 2 2 2" xfId="7275"/>
    <cellStyle name="Normal 79 2 3" xfId="6423"/>
    <cellStyle name="Normal 79 20" xfId="4538"/>
    <cellStyle name="Normal 79 20 2" xfId="8885"/>
    <cellStyle name="Normal 79 21" xfId="4634"/>
    <cellStyle name="Normal 79 21 2" xfId="8974"/>
    <cellStyle name="Normal 79 22" xfId="4728"/>
    <cellStyle name="Normal 79 22 2" xfId="9062"/>
    <cellStyle name="Normal 79 23" xfId="4822"/>
    <cellStyle name="Normal 79 23 2" xfId="9151"/>
    <cellStyle name="Normal 79 24" xfId="4916"/>
    <cellStyle name="Normal 79 24 2" xfId="9239"/>
    <cellStyle name="Normal 79 25" xfId="5008"/>
    <cellStyle name="Normal 79 25 2" xfId="9328"/>
    <cellStyle name="Normal 79 26" xfId="5102"/>
    <cellStyle name="Normal 79 26 2" xfId="9416"/>
    <cellStyle name="Normal 79 27" xfId="5198"/>
    <cellStyle name="Normal 79 27 2" xfId="9503"/>
    <cellStyle name="Normal 79 28" xfId="5297"/>
    <cellStyle name="Normal 79 28 2" xfId="9596"/>
    <cellStyle name="Normal 79 29" xfId="5400"/>
    <cellStyle name="Normal 79 29 2" xfId="9687"/>
    <cellStyle name="Normal 79 3" xfId="1629"/>
    <cellStyle name="Normal 79 3 2" xfId="2924"/>
    <cellStyle name="Normal 79 3 2 2" xfId="7365"/>
    <cellStyle name="Normal 79 3 3" xfId="6513"/>
    <cellStyle name="Normal 79 30" xfId="5923"/>
    <cellStyle name="Normal 79 30 2" xfId="10113"/>
    <cellStyle name="Normal 79 31" xfId="6014"/>
    <cellStyle name="Normal 79 31 2" xfId="10200"/>
    <cellStyle name="Normal 79 32" xfId="6111"/>
    <cellStyle name="Normal 79 32 2" xfId="10289"/>
    <cellStyle name="Normal 79 33" xfId="6203"/>
    <cellStyle name="Normal 79 33 2" xfId="10377"/>
    <cellStyle name="Normal 79 34" xfId="1423"/>
    <cellStyle name="Normal 79 35" xfId="6332"/>
    <cellStyle name="Normal 79 4" xfId="1739"/>
    <cellStyle name="Normal 79 4 2" xfId="3014"/>
    <cellStyle name="Normal 79 4 2 2" xfId="7453"/>
    <cellStyle name="Normal 79 4 3" xfId="6602"/>
    <cellStyle name="Normal 79 5" xfId="1885"/>
    <cellStyle name="Normal 79 5 2" xfId="3109"/>
    <cellStyle name="Normal 79 5 2 2" xfId="7547"/>
    <cellStyle name="Normal 79 5 3" xfId="6694"/>
    <cellStyle name="Normal 79 6" xfId="2218"/>
    <cellStyle name="Normal 79 7" xfId="2385"/>
    <cellStyle name="Normal 79 7 2" xfId="3323"/>
    <cellStyle name="Normal 79 7 2 2" xfId="7745"/>
    <cellStyle name="Normal 79 7 3" xfId="6880"/>
    <cellStyle name="Normal 79 8" xfId="2475"/>
    <cellStyle name="Normal 79 8 2" xfId="3412"/>
    <cellStyle name="Normal 79 8 2 2" xfId="7834"/>
    <cellStyle name="Normal 79 8 3" xfId="6968"/>
    <cellStyle name="Normal 79 9" xfId="2576"/>
    <cellStyle name="Normal 79 9 2" xfId="3502"/>
    <cellStyle name="Normal 79 9 2 2" xfId="7924"/>
    <cellStyle name="Normal 79 9 3" xfId="7055"/>
    <cellStyle name="Normal 8" xfId="756"/>
    <cellStyle name="Normal 8 2" xfId="757"/>
    <cellStyle name="Normal 8 2 2" xfId="758"/>
    <cellStyle name="Normal 8 2 3" xfId="985"/>
    <cellStyle name="Normal 8 2 3 2" xfId="2220"/>
    <cellStyle name="Normal 8 2 4" xfId="1424"/>
    <cellStyle name="Normal 8 3" xfId="759"/>
    <cellStyle name="Normal 8 3 2" xfId="3216"/>
    <cellStyle name="Normal 8 3 2 2" xfId="7639"/>
    <cellStyle name="Normal 8 3 3" xfId="2221"/>
    <cellStyle name="Normal 8 3 4" xfId="6776"/>
    <cellStyle name="Normal 8 4" xfId="2219"/>
    <cellStyle name="Normal 8 5" xfId="2641"/>
    <cellStyle name="Normal 8 5 2" xfId="7086"/>
    <cellStyle name="Normal 8 6" xfId="1226"/>
    <cellStyle name="Normal 8 7" xfId="6242"/>
    <cellStyle name="Normal 8 8" xfId="11004"/>
    <cellStyle name="Normal 80" xfId="760"/>
    <cellStyle name="Normal 80 10" xfId="2743"/>
    <cellStyle name="Normal 80 10 2" xfId="7184"/>
    <cellStyle name="Normal 80 11" xfId="3675"/>
    <cellStyle name="Normal 80 11 2" xfId="8078"/>
    <cellStyle name="Normal 80 12" xfId="3773"/>
    <cellStyle name="Normal 80 12 2" xfId="8168"/>
    <cellStyle name="Normal 80 13" xfId="3875"/>
    <cellStyle name="Normal 80 13 2" xfId="8264"/>
    <cellStyle name="Normal 80 14" xfId="3970"/>
    <cellStyle name="Normal 80 14 2" xfId="8352"/>
    <cellStyle name="Normal 80 15" xfId="4063"/>
    <cellStyle name="Normal 80 15 2" xfId="8441"/>
    <cellStyle name="Normal 80 16" xfId="4158"/>
    <cellStyle name="Normal 80 16 2" xfId="8528"/>
    <cellStyle name="Normal 80 17" xfId="4261"/>
    <cellStyle name="Normal 80 17 2" xfId="8622"/>
    <cellStyle name="Normal 80 18" xfId="4355"/>
    <cellStyle name="Normal 80 18 2" xfId="8711"/>
    <cellStyle name="Normal 80 19" xfId="4447"/>
    <cellStyle name="Normal 80 19 2" xfId="8798"/>
    <cellStyle name="Normal 80 2" xfId="1526"/>
    <cellStyle name="Normal 80 2 2" xfId="2835"/>
    <cellStyle name="Normal 80 2 2 2" xfId="7276"/>
    <cellStyle name="Normal 80 2 3" xfId="6424"/>
    <cellStyle name="Normal 80 20" xfId="4539"/>
    <cellStyle name="Normal 80 20 2" xfId="8886"/>
    <cellStyle name="Normal 80 21" xfId="4635"/>
    <cellStyle name="Normal 80 21 2" xfId="8975"/>
    <cellStyle name="Normal 80 22" xfId="4729"/>
    <cellStyle name="Normal 80 22 2" xfId="9063"/>
    <cellStyle name="Normal 80 23" xfId="4823"/>
    <cellStyle name="Normal 80 23 2" xfId="9152"/>
    <cellStyle name="Normal 80 24" xfId="4917"/>
    <cellStyle name="Normal 80 24 2" xfId="9240"/>
    <cellStyle name="Normal 80 25" xfId="5009"/>
    <cellStyle name="Normal 80 25 2" xfId="9329"/>
    <cellStyle name="Normal 80 26" xfId="5103"/>
    <cellStyle name="Normal 80 26 2" xfId="9417"/>
    <cellStyle name="Normal 80 27" xfId="5199"/>
    <cellStyle name="Normal 80 27 2" xfId="9504"/>
    <cellStyle name="Normal 80 28" xfId="5298"/>
    <cellStyle name="Normal 80 28 2" xfId="9597"/>
    <cellStyle name="Normal 80 29" xfId="5401"/>
    <cellStyle name="Normal 80 29 2" xfId="9688"/>
    <cellStyle name="Normal 80 3" xfId="1630"/>
    <cellStyle name="Normal 80 3 2" xfId="2925"/>
    <cellStyle name="Normal 80 3 2 2" xfId="7366"/>
    <cellStyle name="Normal 80 3 3" xfId="6514"/>
    <cellStyle name="Normal 80 30" xfId="5924"/>
    <cellStyle name="Normal 80 30 2" xfId="10114"/>
    <cellStyle name="Normal 80 31" xfId="6015"/>
    <cellStyle name="Normal 80 31 2" xfId="10201"/>
    <cellStyle name="Normal 80 32" xfId="6112"/>
    <cellStyle name="Normal 80 32 2" xfId="10290"/>
    <cellStyle name="Normal 80 33" xfId="6204"/>
    <cellStyle name="Normal 80 33 2" xfId="10378"/>
    <cellStyle name="Normal 80 34" xfId="1425"/>
    <cellStyle name="Normal 80 35" xfId="6333"/>
    <cellStyle name="Normal 80 4" xfId="1740"/>
    <cellStyle name="Normal 80 4 2" xfId="3015"/>
    <cellStyle name="Normal 80 4 2 2" xfId="7454"/>
    <cellStyle name="Normal 80 4 3" xfId="6603"/>
    <cellStyle name="Normal 80 5" xfId="1886"/>
    <cellStyle name="Normal 80 5 2" xfId="3110"/>
    <cellStyle name="Normal 80 5 2 2" xfId="7548"/>
    <cellStyle name="Normal 80 5 3" xfId="6695"/>
    <cellStyle name="Normal 80 6" xfId="2222"/>
    <cellStyle name="Normal 80 7" xfId="2386"/>
    <cellStyle name="Normal 80 7 2" xfId="3324"/>
    <cellStyle name="Normal 80 7 2 2" xfId="7746"/>
    <cellStyle name="Normal 80 7 3" xfId="6881"/>
    <cellStyle name="Normal 80 8" xfId="2476"/>
    <cellStyle name="Normal 80 8 2" xfId="3413"/>
    <cellStyle name="Normal 80 8 2 2" xfId="7835"/>
    <cellStyle name="Normal 80 8 3" xfId="6969"/>
    <cellStyle name="Normal 80 9" xfId="2577"/>
    <cellStyle name="Normal 80 9 2" xfId="3503"/>
    <cellStyle name="Normal 80 9 2 2" xfId="7925"/>
    <cellStyle name="Normal 80 9 3" xfId="7056"/>
    <cellStyle name="Normal 81" xfId="761"/>
    <cellStyle name="Normal 81 10" xfId="2744"/>
    <cellStyle name="Normal 81 10 2" xfId="7185"/>
    <cellStyle name="Normal 81 11" xfId="3676"/>
    <cellStyle name="Normal 81 11 2" xfId="8079"/>
    <cellStyle name="Normal 81 12" xfId="3774"/>
    <cellStyle name="Normal 81 12 2" xfId="8169"/>
    <cellStyle name="Normal 81 13" xfId="3876"/>
    <cellStyle name="Normal 81 13 2" xfId="8265"/>
    <cellStyle name="Normal 81 14" xfId="3971"/>
    <cellStyle name="Normal 81 14 2" xfId="8353"/>
    <cellStyle name="Normal 81 15" xfId="4064"/>
    <cellStyle name="Normal 81 15 2" xfId="8442"/>
    <cellStyle name="Normal 81 16" xfId="4159"/>
    <cellStyle name="Normal 81 16 2" xfId="8529"/>
    <cellStyle name="Normal 81 17" xfId="4262"/>
    <cellStyle name="Normal 81 17 2" xfId="8623"/>
    <cellStyle name="Normal 81 18" xfId="4356"/>
    <cellStyle name="Normal 81 18 2" xfId="8712"/>
    <cellStyle name="Normal 81 19" xfId="4448"/>
    <cellStyle name="Normal 81 19 2" xfId="8799"/>
    <cellStyle name="Normal 81 2" xfId="1527"/>
    <cellStyle name="Normal 81 2 2" xfId="2836"/>
    <cellStyle name="Normal 81 2 2 2" xfId="7277"/>
    <cellStyle name="Normal 81 2 3" xfId="6425"/>
    <cellStyle name="Normal 81 20" xfId="4540"/>
    <cellStyle name="Normal 81 20 2" xfId="8887"/>
    <cellStyle name="Normal 81 21" xfId="4636"/>
    <cellStyle name="Normal 81 21 2" xfId="8976"/>
    <cellStyle name="Normal 81 22" xfId="4730"/>
    <cellStyle name="Normal 81 22 2" xfId="9064"/>
    <cellStyle name="Normal 81 23" xfId="4824"/>
    <cellStyle name="Normal 81 23 2" xfId="9153"/>
    <cellStyle name="Normal 81 24" xfId="4918"/>
    <cellStyle name="Normal 81 24 2" xfId="9241"/>
    <cellStyle name="Normal 81 25" xfId="5010"/>
    <cellStyle name="Normal 81 25 2" xfId="9330"/>
    <cellStyle name="Normal 81 26" xfId="5104"/>
    <cellStyle name="Normal 81 26 2" xfId="9418"/>
    <cellStyle name="Normal 81 27" xfId="5200"/>
    <cellStyle name="Normal 81 27 2" xfId="9505"/>
    <cellStyle name="Normal 81 28" xfId="5299"/>
    <cellStyle name="Normal 81 28 2" xfId="9598"/>
    <cellStyle name="Normal 81 29" xfId="5402"/>
    <cellStyle name="Normal 81 29 2" xfId="9689"/>
    <cellStyle name="Normal 81 3" xfId="1631"/>
    <cellStyle name="Normal 81 3 2" xfId="2926"/>
    <cellStyle name="Normal 81 3 2 2" xfId="7367"/>
    <cellStyle name="Normal 81 3 3" xfId="6515"/>
    <cellStyle name="Normal 81 30" xfId="5925"/>
    <cellStyle name="Normal 81 30 2" xfId="10115"/>
    <cellStyle name="Normal 81 31" xfId="6016"/>
    <cellStyle name="Normal 81 31 2" xfId="10202"/>
    <cellStyle name="Normal 81 32" xfId="6113"/>
    <cellStyle name="Normal 81 32 2" xfId="10291"/>
    <cellStyle name="Normal 81 33" xfId="6205"/>
    <cellStyle name="Normal 81 33 2" xfId="10379"/>
    <cellStyle name="Normal 81 34" xfId="1426"/>
    <cellStyle name="Normal 81 35" xfId="6334"/>
    <cellStyle name="Normal 81 4" xfId="1741"/>
    <cellStyle name="Normal 81 4 2" xfId="3016"/>
    <cellStyle name="Normal 81 4 2 2" xfId="7455"/>
    <cellStyle name="Normal 81 4 3" xfId="6604"/>
    <cellStyle name="Normal 81 5" xfId="1887"/>
    <cellStyle name="Normal 81 5 2" xfId="3111"/>
    <cellStyle name="Normal 81 5 2 2" xfId="7549"/>
    <cellStyle name="Normal 81 5 3" xfId="6696"/>
    <cellStyle name="Normal 81 6" xfId="2223"/>
    <cellStyle name="Normal 81 7" xfId="2387"/>
    <cellStyle name="Normal 81 7 2" xfId="3325"/>
    <cellStyle name="Normal 81 7 2 2" xfId="7747"/>
    <cellStyle name="Normal 81 7 3" xfId="6882"/>
    <cellStyle name="Normal 81 8" xfId="2477"/>
    <cellStyle name="Normal 81 8 2" xfId="3414"/>
    <cellStyle name="Normal 81 8 2 2" xfId="7836"/>
    <cellStyle name="Normal 81 8 3" xfId="6970"/>
    <cellStyle name="Normal 81 9" xfId="2578"/>
    <cellStyle name="Normal 81 9 2" xfId="3504"/>
    <cellStyle name="Normal 81 9 2 2" xfId="7926"/>
    <cellStyle name="Normal 81 9 3" xfId="7057"/>
    <cellStyle name="Normal 82" xfId="762"/>
    <cellStyle name="Normal 82 10" xfId="2745"/>
    <cellStyle name="Normal 82 10 2" xfId="7186"/>
    <cellStyle name="Normal 82 11" xfId="3677"/>
    <cellStyle name="Normal 82 11 2" xfId="8080"/>
    <cellStyle name="Normal 82 12" xfId="3775"/>
    <cellStyle name="Normal 82 12 2" xfId="8170"/>
    <cellStyle name="Normal 82 13" xfId="3877"/>
    <cellStyle name="Normal 82 13 2" xfId="8266"/>
    <cellStyle name="Normal 82 14" xfId="3972"/>
    <cellStyle name="Normal 82 14 2" xfId="8354"/>
    <cellStyle name="Normal 82 15" xfId="4065"/>
    <cellStyle name="Normal 82 15 2" xfId="8443"/>
    <cellStyle name="Normal 82 16" xfId="4160"/>
    <cellStyle name="Normal 82 16 2" xfId="8530"/>
    <cellStyle name="Normal 82 17" xfId="4263"/>
    <cellStyle name="Normal 82 17 2" xfId="8624"/>
    <cellStyle name="Normal 82 18" xfId="4357"/>
    <cellStyle name="Normal 82 18 2" xfId="8713"/>
    <cellStyle name="Normal 82 19" xfId="4449"/>
    <cellStyle name="Normal 82 19 2" xfId="8800"/>
    <cellStyle name="Normal 82 2" xfId="1528"/>
    <cellStyle name="Normal 82 2 2" xfId="2837"/>
    <cellStyle name="Normal 82 2 2 2" xfId="7278"/>
    <cellStyle name="Normal 82 2 3" xfId="6426"/>
    <cellStyle name="Normal 82 20" xfId="4541"/>
    <cellStyle name="Normal 82 20 2" xfId="8888"/>
    <cellStyle name="Normal 82 21" xfId="4637"/>
    <cellStyle name="Normal 82 21 2" xfId="8977"/>
    <cellStyle name="Normal 82 22" xfId="4731"/>
    <cellStyle name="Normal 82 22 2" xfId="9065"/>
    <cellStyle name="Normal 82 23" xfId="4825"/>
    <cellStyle name="Normal 82 23 2" xfId="9154"/>
    <cellStyle name="Normal 82 24" xfId="4919"/>
    <cellStyle name="Normal 82 24 2" xfId="9242"/>
    <cellStyle name="Normal 82 25" xfId="5011"/>
    <cellStyle name="Normal 82 25 2" xfId="9331"/>
    <cellStyle name="Normal 82 26" xfId="5105"/>
    <cellStyle name="Normal 82 26 2" xfId="9419"/>
    <cellStyle name="Normal 82 27" xfId="5201"/>
    <cellStyle name="Normal 82 27 2" xfId="9506"/>
    <cellStyle name="Normal 82 28" xfId="5300"/>
    <cellStyle name="Normal 82 28 2" xfId="9599"/>
    <cellStyle name="Normal 82 29" xfId="5403"/>
    <cellStyle name="Normal 82 29 2" xfId="9690"/>
    <cellStyle name="Normal 82 3" xfId="1632"/>
    <cellStyle name="Normal 82 3 2" xfId="2927"/>
    <cellStyle name="Normal 82 3 2 2" xfId="7368"/>
    <cellStyle name="Normal 82 3 3" xfId="6516"/>
    <cellStyle name="Normal 82 30" xfId="5926"/>
    <cellStyle name="Normal 82 30 2" xfId="10116"/>
    <cellStyle name="Normal 82 31" xfId="6017"/>
    <cellStyle name="Normal 82 31 2" xfId="10203"/>
    <cellStyle name="Normal 82 32" xfId="6114"/>
    <cellStyle name="Normal 82 32 2" xfId="10292"/>
    <cellStyle name="Normal 82 33" xfId="6206"/>
    <cellStyle name="Normal 82 33 2" xfId="10380"/>
    <cellStyle name="Normal 82 34" xfId="1427"/>
    <cellStyle name="Normal 82 35" xfId="6335"/>
    <cellStyle name="Normal 82 4" xfId="1742"/>
    <cellStyle name="Normal 82 4 2" xfId="3017"/>
    <cellStyle name="Normal 82 4 2 2" xfId="7456"/>
    <cellStyle name="Normal 82 4 3" xfId="6605"/>
    <cellStyle name="Normal 82 5" xfId="1888"/>
    <cellStyle name="Normal 82 5 2" xfId="3112"/>
    <cellStyle name="Normal 82 5 2 2" xfId="7550"/>
    <cellStyle name="Normal 82 5 3" xfId="6697"/>
    <cellStyle name="Normal 82 6" xfId="2224"/>
    <cellStyle name="Normal 82 7" xfId="2388"/>
    <cellStyle name="Normal 82 7 2" xfId="3326"/>
    <cellStyle name="Normal 82 7 2 2" xfId="7748"/>
    <cellStyle name="Normal 82 7 3" xfId="6883"/>
    <cellStyle name="Normal 82 8" xfId="2478"/>
    <cellStyle name="Normal 82 8 2" xfId="3415"/>
    <cellStyle name="Normal 82 8 2 2" xfId="7837"/>
    <cellStyle name="Normal 82 8 3" xfId="6971"/>
    <cellStyle name="Normal 82 9" xfId="2579"/>
    <cellStyle name="Normal 82 9 2" xfId="3505"/>
    <cellStyle name="Normal 82 9 2 2" xfId="7927"/>
    <cellStyle name="Normal 82 9 3" xfId="7058"/>
    <cellStyle name="Normal 83" xfId="763"/>
    <cellStyle name="Normal 83 10" xfId="2746"/>
    <cellStyle name="Normal 83 10 2" xfId="7187"/>
    <cellStyle name="Normal 83 11" xfId="3678"/>
    <cellStyle name="Normal 83 11 2" xfId="8081"/>
    <cellStyle name="Normal 83 12" xfId="3776"/>
    <cellStyle name="Normal 83 12 2" xfId="8171"/>
    <cellStyle name="Normal 83 13" xfId="3878"/>
    <cellStyle name="Normal 83 13 2" xfId="8267"/>
    <cellStyle name="Normal 83 14" xfId="3973"/>
    <cellStyle name="Normal 83 14 2" xfId="8355"/>
    <cellStyle name="Normal 83 15" xfId="4066"/>
    <cellStyle name="Normal 83 15 2" xfId="8444"/>
    <cellStyle name="Normal 83 16" xfId="4161"/>
    <cellStyle name="Normal 83 16 2" xfId="8531"/>
    <cellStyle name="Normal 83 17" xfId="4264"/>
    <cellStyle name="Normal 83 17 2" xfId="8625"/>
    <cellStyle name="Normal 83 18" xfId="4358"/>
    <cellStyle name="Normal 83 18 2" xfId="8714"/>
    <cellStyle name="Normal 83 19" xfId="4450"/>
    <cellStyle name="Normal 83 19 2" xfId="8801"/>
    <cellStyle name="Normal 83 2" xfId="1529"/>
    <cellStyle name="Normal 83 2 2" xfId="2838"/>
    <cellStyle name="Normal 83 2 2 2" xfId="7279"/>
    <cellStyle name="Normal 83 2 3" xfId="6427"/>
    <cellStyle name="Normal 83 20" xfId="4542"/>
    <cellStyle name="Normal 83 20 2" xfId="8889"/>
    <cellStyle name="Normal 83 21" xfId="4638"/>
    <cellStyle name="Normal 83 21 2" xfId="8978"/>
    <cellStyle name="Normal 83 22" xfId="4732"/>
    <cellStyle name="Normal 83 22 2" xfId="9066"/>
    <cellStyle name="Normal 83 23" xfId="4826"/>
    <cellStyle name="Normal 83 23 2" xfId="9155"/>
    <cellStyle name="Normal 83 24" xfId="4920"/>
    <cellStyle name="Normal 83 24 2" xfId="9243"/>
    <cellStyle name="Normal 83 25" xfId="5012"/>
    <cellStyle name="Normal 83 25 2" xfId="9332"/>
    <cellStyle name="Normal 83 26" xfId="5106"/>
    <cellStyle name="Normal 83 26 2" xfId="9420"/>
    <cellStyle name="Normal 83 27" xfId="5202"/>
    <cellStyle name="Normal 83 27 2" xfId="9507"/>
    <cellStyle name="Normal 83 28" xfId="5301"/>
    <cellStyle name="Normal 83 28 2" xfId="9600"/>
    <cellStyle name="Normal 83 29" xfId="5404"/>
    <cellStyle name="Normal 83 29 2" xfId="9691"/>
    <cellStyle name="Normal 83 3" xfId="1633"/>
    <cellStyle name="Normal 83 3 2" xfId="2928"/>
    <cellStyle name="Normal 83 3 2 2" xfId="7369"/>
    <cellStyle name="Normal 83 3 3" xfId="6517"/>
    <cellStyle name="Normal 83 30" xfId="5927"/>
    <cellStyle name="Normal 83 30 2" xfId="10117"/>
    <cellStyle name="Normal 83 31" xfId="6018"/>
    <cellStyle name="Normal 83 31 2" xfId="10204"/>
    <cellStyle name="Normal 83 32" xfId="6115"/>
    <cellStyle name="Normal 83 32 2" xfId="10293"/>
    <cellStyle name="Normal 83 33" xfId="6207"/>
    <cellStyle name="Normal 83 33 2" xfId="10381"/>
    <cellStyle name="Normal 83 34" xfId="1428"/>
    <cellStyle name="Normal 83 35" xfId="6336"/>
    <cellStyle name="Normal 83 4" xfId="1743"/>
    <cellStyle name="Normal 83 4 2" xfId="3018"/>
    <cellStyle name="Normal 83 4 2 2" xfId="7457"/>
    <cellStyle name="Normal 83 4 3" xfId="6606"/>
    <cellStyle name="Normal 83 5" xfId="1889"/>
    <cellStyle name="Normal 83 5 2" xfId="3113"/>
    <cellStyle name="Normal 83 5 2 2" xfId="7551"/>
    <cellStyle name="Normal 83 5 3" xfId="6698"/>
    <cellStyle name="Normal 83 6" xfId="2225"/>
    <cellStyle name="Normal 83 7" xfId="2389"/>
    <cellStyle name="Normal 83 7 2" xfId="3327"/>
    <cellStyle name="Normal 83 7 2 2" xfId="7749"/>
    <cellStyle name="Normal 83 7 3" xfId="6884"/>
    <cellStyle name="Normal 83 8" xfId="2479"/>
    <cellStyle name="Normal 83 8 2" xfId="3416"/>
    <cellStyle name="Normal 83 8 2 2" xfId="7838"/>
    <cellStyle name="Normal 83 8 3" xfId="6972"/>
    <cellStyle name="Normal 83 9" xfId="2580"/>
    <cellStyle name="Normal 83 9 2" xfId="3506"/>
    <cellStyle name="Normal 83 9 2 2" xfId="7928"/>
    <cellStyle name="Normal 83 9 3" xfId="7059"/>
    <cellStyle name="Normal 84" xfId="764"/>
    <cellStyle name="Normal 84 10" xfId="3679"/>
    <cellStyle name="Normal 84 10 2" xfId="8082"/>
    <cellStyle name="Normal 84 11" xfId="3777"/>
    <cellStyle name="Normal 84 11 2" xfId="8172"/>
    <cellStyle name="Normal 84 12" xfId="3879"/>
    <cellStyle name="Normal 84 12 2" xfId="8268"/>
    <cellStyle name="Normal 84 13" xfId="3974"/>
    <cellStyle name="Normal 84 13 2" xfId="8356"/>
    <cellStyle name="Normal 84 14" xfId="4067"/>
    <cellStyle name="Normal 84 14 2" xfId="8445"/>
    <cellStyle name="Normal 84 15" xfId="4162"/>
    <cellStyle name="Normal 84 15 2" xfId="8532"/>
    <cellStyle name="Normal 84 16" xfId="4265"/>
    <cellStyle name="Normal 84 16 2" xfId="8626"/>
    <cellStyle name="Normal 84 17" xfId="4359"/>
    <cellStyle name="Normal 84 17 2" xfId="8715"/>
    <cellStyle name="Normal 84 18" xfId="4451"/>
    <cellStyle name="Normal 84 18 2" xfId="8802"/>
    <cellStyle name="Normal 84 19" xfId="4543"/>
    <cellStyle name="Normal 84 19 2" xfId="8890"/>
    <cellStyle name="Normal 84 2" xfId="1530"/>
    <cellStyle name="Normal 84 2 2" xfId="2839"/>
    <cellStyle name="Normal 84 2 2 2" xfId="7280"/>
    <cellStyle name="Normal 84 2 3" xfId="6428"/>
    <cellStyle name="Normal 84 20" xfId="4639"/>
    <cellStyle name="Normal 84 20 2" xfId="8979"/>
    <cellStyle name="Normal 84 21" xfId="4733"/>
    <cellStyle name="Normal 84 21 2" xfId="9067"/>
    <cellStyle name="Normal 84 22" xfId="4827"/>
    <cellStyle name="Normal 84 22 2" xfId="9156"/>
    <cellStyle name="Normal 84 23" xfId="4921"/>
    <cellStyle name="Normal 84 23 2" xfId="9244"/>
    <cellStyle name="Normal 84 24" xfId="5013"/>
    <cellStyle name="Normal 84 24 2" xfId="9333"/>
    <cellStyle name="Normal 84 25" xfId="5107"/>
    <cellStyle name="Normal 84 25 2" xfId="9421"/>
    <cellStyle name="Normal 84 26" xfId="5203"/>
    <cellStyle name="Normal 84 26 2" xfId="9508"/>
    <cellStyle name="Normal 84 27" xfId="5302"/>
    <cellStyle name="Normal 84 27 2" xfId="9601"/>
    <cellStyle name="Normal 84 28" xfId="5405"/>
    <cellStyle name="Normal 84 28 2" xfId="9692"/>
    <cellStyle name="Normal 84 29" xfId="5928"/>
    <cellStyle name="Normal 84 29 2" xfId="10118"/>
    <cellStyle name="Normal 84 3" xfId="1634"/>
    <cellStyle name="Normal 84 3 2" xfId="2929"/>
    <cellStyle name="Normal 84 3 2 2" xfId="7370"/>
    <cellStyle name="Normal 84 3 3" xfId="6518"/>
    <cellStyle name="Normal 84 30" xfId="6019"/>
    <cellStyle name="Normal 84 30 2" xfId="10205"/>
    <cellStyle name="Normal 84 31" xfId="6116"/>
    <cellStyle name="Normal 84 31 2" xfId="10294"/>
    <cellStyle name="Normal 84 32" xfId="6208"/>
    <cellStyle name="Normal 84 32 2" xfId="10382"/>
    <cellStyle name="Normal 84 33" xfId="1429"/>
    <cellStyle name="Normal 84 34" xfId="6337"/>
    <cellStyle name="Normal 84 4" xfId="1744"/>
    <cellStyle name="Normal 84 4 2" xfId="3019"/>
    <cellStyle name="Normal 84 4 2 2" xfId="7458"/>
    <cellStyle name="Normal 84 4 3" xfId="6607"/>
    <cellStyle name="Normal 84 5" xfId="1890"/>
    <cellStyle name="Normal 84 5 2" xfId="3114"/>
    <cellStyle name="Normal 84 5 2 2" xfId="7552"/>
    <cellStyle name="Normal 84 5 3" xfId="6699"/>
    <cellStyle name="Normal 84 6" xfId="2390"/>
    <cellStyle name="Normal 84 6 2" xfId="3328"/>
    <cellStyle name="Normal 84 6 2 2" xfId="7750"/>
    <cellStyle name="Normal 84 6 3" xfId="6885"/>
    <cellStyle name="Normal 84 7" xfId="2480"/>
    <cellStyle name="Normal 84 7 2" xfId="3417"/>
    <cellStyle name="Normal 84 7 2 2" xfId="7839"/>
    <cellStyle name="Normal 84 7 3" xfId="6973"/>
    <cellStyle name="Normal 84 8" xfId="2581"/>
    <cellStyle name="Normal 84 8 2" xfId="3507"/>
    <cellStyle name="Normal 84 8 2 2" xfId="7929"/>
    <cellStyle name="Normal 84 8 3" xfId="7060"/>
    <cellStyle name="Normal 84 9" xfId="2747"/>
    <cellStyle name="Normal 84 9 2" xfId="7188"/>
    <cellStyle name="Normal 85" xfId="765"/>
    <cellStyle name="Normal 85 10" xfId="2748"/>
    <cellStyle name="Normal 85 10 2" xfId="7189"/>
    <cellStyle name="Normal 85 11" xfId="3680"/>
    <cellStyle name="Normal 85 11 2" xfId="8083"/>
    <cellStyle name="Normal 85 12" xfId="3778"/>
    <cellStyle name="Normal 85 12 2" xfId="8173"/>
    <cellStyle name="Normal 85 13" xfId="3880"/>
    <cellStyle name="Normal 85 13 2" xfId="8269"/>
    <cellStyle name="Normal 85 14" xfId="3975"/>
    <cellStyle name="Normal 85 14 2" xfId="8357"/>
    <cellStyle name="Normal 85 15" xfId="4068"/>
    <cellStyle name="Normal 85 15 2" xfId="8446"/>
    <cellStyle name="Normal 85 16" xfId="4163"/>
    <cellStyle name="Normal 85 16 2" xfId="8533"/>
    <cellStyle name="Normal 85 17" xfId="4266"/>
    <cellStyle name="Normal 85 17 2" xfId="8627"/>
    <cellStyle name="Normal 85 18" xfId="4360"/>
    <cellStyle name="Normal 85 18 2" xfId="8716"/>
    <cellStyle name="Normal 85 19" xfId="4452"/>
    <cellStyle name="Normal 85 19 2" xfId="8803"/>
    <cellStyle name="Normal 85 2" xfId="1531"/>
    <cellStyle name="Normal 85 2 2" xfId="2840"/>
    <cellStyle name="Normal 85 2 2 2" xfId="7281"/>
    <cellStyle name="Normal 85 2 3" xfId="6429"/>
    <cellStyle name="Normal 85 20" xfId="4544"/>
    <cellStyle name="Normal 85 20 2" xfId="8891"/>
    <cellStyle name="Normal 85 21" xfId="4640"/>
    <cellStyle name="Normal 85 21 2" xfId="8980"/>
    <cellStyle name="Normal 85 22" xfId="4734"/>
    <cellStyle name="Normal 85 22 2" xfId="9068"/>
    <cellStyle name="Normal 85 23" xfId="4828"/>
    <cellStyle name="Normal 85 23 2" xfId="9157"/>
    <cellStyle name="Normal 85 24" xfId="4922"/>
    <cellStyle name="Normal 85 24 2" xfId="9245"/>
    <cellStyle name="Normal 85 25" xfId="5014"/>
    <cellStyle name="Normal 85 25 2" xfId="9334"/>
    <cellStyle name="Normal 85 26" xfId="5108"/>
    <cellStyle name="Normal 85 26 2" xfId="9422"/>
    <cellStyle name="Normal 85 27" xfId="5204"/>
    <cellStyle name="Normal 85 27 2" xfId="9509"/>
    <cellStyle name="Normal 85 28" xfId="5303"/>
    <cellStyle name="Normal 85 28 2" xfId="9602"/>
    <cellStyle name="Normal 85 29" xfId="5406"/>
    <cellStyle name="Normal 85 29 2" xfId="9693"/>
    <cellStyle name="Normal 85 3" xfId="1635"/>
    <cellStyle name="Normal 85 3 2" xfId="2930"/>
    <cellStyle name="Normal 85 3 2 2" xfId="7371"/>
    <cellStyle name="Normal 85 3 3" xfId="6519"/>
    <cellStyle name="Normal 85 30" xfId="5929"/>
    <cellStyle name="Normal 85 30 2" xfId="10119"/>
    <cellStyle name="Normal 85 31" xfId="6020"/>
    <cellStyle name="Normal 85 31 2" xfId="10206"/>
    <cellStyle name="Normal 85 32" xfId="6117"/>
    <cellStyle name="Normal 85 32 2" xfId="10295"/>
    <cellStyle name="Normal 85 33" xfId="6209"/>
    <cellStyle name="Normal 85 33 2" xfId="10383"/>
    <cellStyle name="Normal 85 34" xfId="1430"/>
    <cellStyle name="Normal 85 35" xfId="6338"/>
    <cellStyle name="Normal 85 4" xfId="1745"/>
    <cellStyle name="Normal 85 4 2" xfId="3020"/>
    <cellStyle name="Normal 85 4 2 2" xfId="7459"/>
    <cellStyle name="Normal 85 4 3" xfId="6608"/>
    <cellStyle name="Normal 85 5" xfId="1891"/>
    <cellStyle name="Normal 85 5 2" xfId="3115"/>
    <cellStyle name="Normal 85 5 2 2" xfId="7553"/>
    <cellStyle name="Normal 85 5 3" xfId="6700"/>
    <cellStyle name="Normal 85 6" xfId="2226"/>
    <cellStyle name="Normal 85 7" xfId="2391"/>
    <cellStyle name="Normal 85 7 2" xfId="3329"/>
    <cellStyle name="Normal 85 7 2 2" xfId="7751"/>
    <cellStyle name="Normal 85 7 3" xfId="6886"/>
    <cellStyle name="Normal 85 8" xfId="2481"/>
    <cellStyle name="Normal 85 8 2" xfId="3418"/>
    <cellStyle name="Normal 85 8 2 2" xfId="7840"/>
    <cellStyle name="Normal 85 8 3" xfId="6974"/>
    <cellStyle name="Normal 85 9" xfId="2582"/>
    <cellStyle name="Normal 85 9 2" xfId="3508"/>
    <cellStyle name="Normal 85 9 2 2" xfId="7930"/>
    <cellStyle name="Normal 85 9 3" xfId="7061"/>
    <cellStyle name="Normal 86" xfId="766"/>
    <cellStyle name="Normal 86 10" xfId="2749"/>
    <cellStyle name="Normal 86 10 2" xfId="7190"/>
    <cellStyle name="Normal 86 11" xfId="3681"/>
    <cellStyle name="Normal 86 11 2" xfId="8084"/>
    <cellStyle name="Normal 86 12" xfId="3779"/>
    <cellStyle name="Normal 86 12 2" xfId="8174"/>
    <cellStyle name="Normal 86 13" xfId="3881"/>
    <cellStyle name="Normal 86 13 2" xfId="8270"/>
    <cellStyle name="Normal 86 14" xfId="3976"/>
    <cellStyle name="Normal 86 14 2" xfId="8358"/>
    <cellStyle name="Normal 86 15" xfId="4069"/>
    <cellStyle name="Normal 86 15 2" xfId="8447"/>
    <cellStyle name="Normal 86 16" xfId="4164"/>
    <cellStyle name="Normal 86 16 2" xfId="8534"/>
    <cellStyle name="Normal 86 17" xfId="4267"/>
    <cellStyle name="Normal 86 17 2" xfId="8628"/>
    <cellStyle name="Normal 86 18" xfId="4361"/>
    <cellStyle name="Normal 86 18 2" xfId="8717"/>
    <cellStyle name="Normal 86 19" xfId="4453"/>
    <cellStyle name="Normal 86 19 2" xfId="8804"/>
    <cellStyle name="Normal 86 2" xfId="1532"/>
    <cellStyle name="Normal 86 2 2" xfId="2841"/>
    <cellStyle name="Normal 86 2 2 2" xfId="7282"/>
    <cellStyle name="Normal 86 2 3" xfId="6430"/>
    <cellStyle name="Normal 86 20" xfId="4545"/>
    <cellStyle name="Normal 86 20 2" xfId="8892"/>
    <cellStyle name="Normal 86 21" xfId="4641"/>
    <cellStyle name="Normal 86 21 2" xfId="8981"/>
    <cellStyle name="Normal 86 22" xfId="4735"/>
    <cellStyle name="Normal 86 22 2" xfId="9069"/>
    <cellStyle name="Normal 86 23" xfId="4829"/>
    <cellStyle name="Normal 86 23 2" xfId="9158"/>
    <cellStyle name="Normal 86 24" xfId="4923"/>
    <cellStyle name="Normal 86 24 2" xfId="9246"/>
    <cellStyle name="Normal 86 25" xfId="5015"/>
    <cellStyle name="Normal 86 25 2" xfId="9335"/>
    <cellStyle name="Normal 86 26" xfId="5109"/>
    <cellStyle name="Normal 86 26 2" xfId="9423"/>
    <cellStyle name="Normal 86 27" xfId="5205"/>
    <cellStyle name="Normal 86 27 2" xfId="9510"/>
    <cellStyle name="Normal 86 28" xfId="5304"/>
    <cellStyle name="Normal 86 28 2" xfId="9603"/>
    <cellStyle name="Normal 86 29" xfId="5407"/>
    <cellStyle name="Normal 86 29 2" xfId="9694"/>
    <cellStyle name="Normal 86 3" xfId="1636"/>
    <cellStyle name="Normal 86 3 2" xfId="2931"/>
    <cellStyle name="Normal 86 3 2 2" xfId="7372"/>
    <cellStyle name="Normal 86 3 3" xfId="6520"/>
    <cellStyle name="Normal 86 30" xfId="5930"/>
    <cellStyle name="Normal 86 30 2" xfId="10120"/>
    <cellStyle name="Normal 86 31" xfId="6021"/>
    <cellStyle name="Normal 86 31 2" xfId="10207"/>
    <cellStyle name="Normal 86 32" xfId="6118"/>
    <cellStyle name="Normal 86 32 2" xfId="10296"/>
    <cellStyle name="Normal 86 33" xfId="6210"/>
    <cellStyle name="Normal 86 33 2" xfId="10384"/>
    <cellStyle name="Normal 86 34" xfId="1431"/>
    <cellStyle name="Normal 86 35" xfId="6339"/>
    <cellStyle name="Normal 86 4" xfId="1746"/>
    <cellStyle name="Normal 86 4 2" xfId="3021"/>
    <cellStyle name="Normal 86 4 2 2" xfId="7460"/>
    <cellStyle name="Normal 86 4 3" xfId="6609"/>
    <cellStyle name="Normal 86 5" xfId="1892"/>
    <cellStyle name="Normal 86 5 2" xfId="3116"/>
    <cellStyle name="Normal 86 5 2 2" xfId="7554"/>
    <cellStyle name="Normal 86 5 3" xfId="6701"/>
    <cellStyle name="Normal 86 6" xfId="2227"/>
    <cellStyle name="Normal 86 7" xfId="2392"/>
    <cellStyle name="Normal 86 7 2" xfId="3330"/>
    <cellStyle name="Normal 86 7 2 2" xfId="7752"/>
    <cellStyle name="Normal 86 7 3" xfId="6887"/>
    <cellStyle name="Normal 86 8" xfId="2482"/>
    <cellStyle name="Normal 86 8 2" xfId="3419"/>
    <cellStyle name="Normal 86 8 2 2" xfId="7841"/>
    <cellStyle name="Normal 86 8 3" xfId="6975"/>
    <cellStyle name="Normal 86 9" xfId="2583"/>
    <cellStyle name="Normal 86 9 2" xfId="3509"/>
    <cellStyle name="Normal 86 9 2 2" xfId="7931"/>
    <cellStyle name="Normal 86 9 3" xfId="7062"/>
    <cellStyle name="Normal 87" xfId="767"/>
    <cellStyle name="Normal 87 10" xfId="2750"/>
    <cellStyle name="Normal 87 10 2" xfId="7191"/>
    <cellStyle name="Normal 87 11" xfId="3682"/>
    <cellStyle name="Normal 87 11 2" xfId="8085"/>
    <cellStyle name="Normal 87 12" xfId="3780"/>
    <cellStyle name="Normal 87 12 2" xfId="8175"/>
    <cellStyle name="Normal 87 13" xfId="3882"/>
    <cellStyle name="Normal 87 13 2" xfId="8271"/>
    <cellStyle name="Normal 87 14" xfId="3977"/>
    <cellStyle name="Normal 87 14 2" xfId="8359"/>
    <cellStyle name="Normal 87 15" xfId="4070"/>
    <cellStyle name="Normal 87 15 2" xfId="8448"/>
    <cellStyle name="Normal 87 16" xfId="4165"/>
    <cellStyle name="Normal 87 16 2" xfId="8535"/>
    <cellStyle name="Normal 87 17" xfId="4268"/>
    <cellStyle name="Normal 87 17 2" xfId="8629"/>
    <cellStyle name="Normal 87 18" xfId="4362"/>
    <cellStyle name="Normal 87 18 2" xfId="8718"/>
    <cellStyle name="Normal 87 19" xfId="4454"/>
    <cellStyle name="Normal 87 19 2" xfId="8805"/>
    <cellStyle name="Normal 87 2" xfId="1533"/>
    <cellStyle name="Normal 87 2 2" xfId="2842"/>
    <cellStyle name="Normal 87 2 2 2" xfId="7283"/>
    <cellStyle name="Normal 87 2 3" xfId="6431"/>
    <cellStyle name="Normal 87 20" xfId="4546"/>
    <cellStyle name="Normal 87 20 2" xfId="8893"/>
    <cellStyle name="Normal 87 21" xfId="4642"/>
    <cellStyle name="Normal 87 21 2" xfId="8982"/>
    <cellStyle name="Normal 87 22" xfId="4736"/>
    <cellStyle name="Normal 87 22 2" xfId="9070"/>
    <cellStyle name="Normal 87 23" xfId="4830"/>
    <cellStyle name="Normal 87 23 2" xfId="9159"/>
    <cellStyle name="Normal 87 24" xfId="4924"/>
    <cellStyle name="Normal 87 24 2" xfId="9247"/>
    <cellStyle name="Normal 87 25" xfId="5016"/>
    <cellStyle name="Normal 87 25 2" xfId="9336"/>
    <cellStyle name="Normal 87 26" xfId="5110"/>
    <cellStyle name="Normal 87 26 2" xfId="9424"/>
    <cellStyle name="Normal 87 27" xfId="5206"/>
    <cellStyle name="Normal 87 27 2" xfId="9511"/>
    <cellStyle name="Normal 87 28" xfId="5305"/>
    <cellStyle name="Normal 87 28 2" xfId="9604"/>
    <cellStyle name="Normal 87 29" xfId="5408"/>
    <cellStyle name="Normal 87 29 2" xfId="9695"/>
    <cellStyle name="Normal 87 3" xfId="1637"/>
    <cellStyle name="Normal 87 3 2" xfId="2932"/>
    <cellStyle name="Normal 87 3 2 2" xfId="7373"/>
    <cellStyle name="Normal 87 3 3" xfId="6521"/>
    <cellStyle name="Normal 87 30" xfId="5931"/>
    <cellStyle name="Normal 87 30 2" xfId="10121"/>
    <cellStyle name="Normal 87 31" xfId="6022"/>
    <cellStyle name="Normal 87 31 2" xfId="10208"/>
    <cellStyle name="Normal 87 32" xfId="6119"/>
    <cellStyle name="Normal 87 32 2" xfId="10297"/>
    <cellStyle name="Normal 87 33" xfId="6211"/>
    <cellStyle name="Normal 87 33 2" xfId="10385"/>
    <cellStyle name="Normal 87 34" xfId="1432"/>
    <cellStyle name="Normal 87 35" xfId="6340"/>
    <cellStyle name="Normal 87 4" xfId="1747"/>
    <cellStyle name="Normal 87 4 2" xfId="3022"/>
    <cellStyle name="Normal 87 4 2 2" xfId="7461"/>
    <cellStyle name="Normal 87 4 3" xfId="6610"/>
    <cellStyle name="Normal 87 5" xfId="1893"/>
    <cellStyle name="Normal 87 5 2" xfId="3117"/>
    <cellStyle name="Normal 87 5 2 2" xfId="7555"/>
    <cellStyle name="Normal 87 5 3" xfId="6702"/>
    <cellStyle name="Normal 87 6" xfId="2228"/>
    <cellStyle name="Normal 87 7" xfId="2393"/>
    <cellStyle name="Normal 87 7 2" xfId="3331"/>
    <cellStyle name="Normal 87 7 2 2" xfId="7753"/>
    <cellStyle name="Normal 87 7 3" xfId="6888"/>
    <cellStyle name="Normal 87 8" xfId="2483"/>
    <cellStyle name="Normal 87 8 2" xfId="3420"/>
    <cellStyle name="Normal 87 8 2 2" xfId="7842"/>
    <cellStyle name="Normal 87 8 3" xfId="6976"/>
    <cellStyle name="Normal 87 9" xfId="2584"/>
    <cellStyle name="Normal 87 9 2" xfId="3510"/>
    <cellStyle name="Normal 87 9 2 2" xfId="7932"/>
    <cellStyle name="Normal 87 9 3" xfId="7063"/>
    <cellStyle name="Normal 88" xfId="768"/>
    <cellStyle name="Normal 88 10" xfId="2751"/>
    <cellStyle name="Normal 88 10 2" xfId="7192"/>
    <cellStyle name="Normal 88 11" xfId="3683"/>
    <cellStyle name="Normal 88 11 2" xfId="8086"/>
    <cellStyle name="Normal 88 12" xfId="3781"/>
    <cellStyle name="Normal 88 12 2" xfId="8176"/>
    <cellStyle name="Normal 88 13" xfId="3883"/>
    <cellStyle name="Normal 88 13 2" xfId="8272"/>
    <cellStyle name="Normal 88 14" xfId="3978"/>
    <cellStyle name="Normal 88 14 2" xfId="8360"/>
    <cellStyle name="Normal 88 15" xfId="4071"/>
    <cellStyle name="Normal 88 15 2" xfId="8449"/>
    <cellStyle name="Normal 88 16" xfId="4166"/>
    <cellStyle name="Normal 88 16 2" xfId="8536"/>
    <cellStyle name="Normal 88 17" xfId="4269"/>
    <cellStyle name="Normal 88 17 2" xfId="8630"/>
    <cellStyle name="Normal 88 18" xfId="4363"/>
    <cellStyle name="Normal 88 18 2" xfId="8719"/>
    <cellStyle name="Normal 88 19" xfId="4455"/>
    <cellStyle name="Normal 88 19 2" xfId="8806"/>
    <cellStyle name="Normal 88 2" xfId="1534"/>
    <cellStyle name="Normal 88 2 2" xfId="2843"/>
    <cellStyle name="Normal 88 2 2 2" xfId="7284"/>
    <cellStyle name="Normal 88 2 3" xfId="6432"/>
    <cellStyle name="Normal 88 20" xfId="4547"/>
    <cellStyle name="Normal 88 20 2" xfId="8894"/>
    <cellStyle name="Normal 88 21" xfId="4643"/>
    <cellStyle name="Normal 88 21 2" xfId="8983"/>
    <cellStyle name="Normal 88 22" xfId="4737"/>
    <cellStyle name="Normal 88 22 2" xfId="9071"/>
    <cellStyle name="Normal 88 23" xfId="4831"/>
    <cellStyle name="Normal 88 23 2" xfId="9160"/>
    <cellStyle name="Normal 88 24" xfId="4925"/>
    <cellStyle name="Normal 88 24 2" xfId="9248"/>
    <cellStyle name="Normal 88 25" xfId="5017"/>
    <cellStyle name="Normal 88 25 2" xfId="9337"/>
    <cellStyle name="Normal 88 26" xfId="5111"/>
    <cellStyle name="Normal 88 26 2" xfId="9425"/>
    <cellStyle name="Normal 88 27" xfId="5207"/>
    <cellStyle name="Normal 88 27 2" xfId="9512"/>
    <cellStyle name="Normal 88 28" xfId="5306"/>
    <cellStyle name="Normal 88 28 2" xfId="9605"/>
    <cellStyle name="Normal 88 29" xfId="5409"/>
    <cellStyle name="Normal 88 29 2" xfId="9696"/>
    <cellStyle name="Normal 88 3" xfId="1638"/>
    <cellStyle name="Normal 88 3 2" xfId="2933"/>
    <cellStyle name="Normal 88 3 2 2" xfId="7374"/>
    <cellStyle name="Normal 88 3 3" xfId="6522"/>
    <cellStyle name="Normal 88 30" xfId="5932"/>
    <cellStyle name="Normal 88 30 2" xfId="10122"/>
    <cellStyle name="Normal 88 31" xfId="6023"/>
    <cellStyle name="Normal 88 31 2" xfId="10209"/>
    <cellStyle name="Normal 88 32" xfId="6120"/>
    <cellStyle name="Normal 88 32 2" xfId="10298"/>
    <cellStyle name="Normal 88 33" xfId="6212"/>
    <cellStyle name="Normal 88 33 2" xfId="10386"/>
    <cellStyle name="Normal 88 34" xfId="1433"/>
    <cellStyle name="Normal 88 35" xfId="6341"/>
    <cellStyle name="Normal 88 4" xfId="1748"/>
    <cellStyle name="Normal 88 4 2" xfId="3023"/>
    <cellStyle name="Normal 88 4 2 2" xfId="7462"/>
    <cellStyle name="Normal 88 4 3" xfId="6611"/>
    <cellStyle name="Normal 88 5" xfId="1894"/>
    <cellStyle name="Normal 88 5 2" xfId="3118"/>
    <cellStyle name="Normal 88 5 2 2" xfId="7556"/>
    <cellStyle name="Normal 88 5 3" xfId="6703"/>
    <cellStyle name="Normal 88 6" xfId="2229"/>
    <cellStyle name="Normal 88 7" xfId="2394"/>
    <cellStyle name="Normal 88 7 2" xfId="3332"/>
    <cellStyle name="Normal 88 7 2 2" xfId="7754"/>
    <cellStyle name="Normal 88 7 3" xfId="6889"/>
    <cellStyle name="Normal 88 8" xfId="2484"/>
    <cellStyle name="Normal 88 8 2" xfId="3421"/>
    <cellStyle name="Normal 88 8 2 2" xfId="7843"/>
    <cellStyle name="Normal 88 8 3" xfId="6977"/>
    <cellStyle name="Normal 88 9" xfId="2585"/>
    <cellStyle name="Normal 88 9 2" xfId="3511"/>
    <cellStyle name="Normal 88 9 2 2" xfId="7933"/>
    <cellStyle name="Normal 88 9 3" xfId="7064"/>
    <cellStyle name="Normal 89" xfId="769"/>
    <cellStyle name="Normal 89 10" xfId="2752"/>
    <cellStyle name="Normal 89 10 2" xfId="7193"/>
    <cellStyle name="Normal 89 11" xfId="3684"/>
    <cellStyle name="Normal 89 11 2" xfId="8087"/>
    <cellStyle name="Normal 89 12" xfId="3782"/>
    <cellStyle name="Normal 89 12 2" xfId="8177"/>
    <cellStyle name="Normal 89 13" xfId="3884"/>
    <cellStyle name="Normal 89 13 2" xfId="8273"/>
    <cellStyle name="Normal 89 14" xfId="3979"/>
    <cellStyle name="Normal 89 14 2" xfId="8361"/>
    <cellStyle name="Normal 89 15" xfId="4072"/>
    <cellStyle name="Normal 89 15 2" xfId="8450"/>
    <cellStyle name="Normal 89 16" xfId="4167"/>
    <cellStyle name="Normal 89 16 2" xfId="8537"/>
    <cellStyle name="Normal 89 17" xfId="4270"/>
    <cellStyle name="Normal 89 17 2" xfId="8631"/>
    <cellStyle name="Normal 89 18" xfId="4364"/>
    <cellStyle name="Normal 89 18 2" xfId="8720"/>
    <cellStyle name="Normal 89 19" xfId="4456"/>
    <cellStyle name="Normal 89 19 2" xfId="8807"/>
    <cellStyle name="Normal 89 2" xfId="1535"/>
    <cellStyle name="Normal 89 2 2" xfId="2844"/>
    <cellStyle name="Normal 89 2 2 2" xfId="7285"/>
    <cellStyle name="Normal 89 2 3" xfId="6433"/>
    <cellStyle name="Normal 89 20" xfId="4548"/>
    <cellStyle name="Normal 89 20 2" xfId="8895"/>
    <cellStyle name="Normal 89 21" xfId="4644"/>
    <cellStyle name="Normal 89 21 2" xfId="8984"/>
    <cellStyle name="Normal 89 22" xfId="4738"/>
    <cellStyle name="Normal 89 22 2" xfId="9072"/>
    <cellStyle name="Normal 89 23" xfId="4832"/>
    <cellStyle name="Normal 89 23 2" xfId="9161"/>
    <cellStyle name="Normal 89 24" xfId="4926"/>
    <cellStyle name="Normal 89 24 2" xfId="9249"/>
    <cellStyle name="Normal 89 25" xfId="5018"/>
    <cellStyle name="Normal 89 25 2" xfId="9338"/>
    <cellStyle name="Normal 89 26" xfId="5112"/>
    <cellStyle name="Normal 89 26 2" xfId="9426"/>
    <cellStyle name="Normal 89 27" xfId="5208"/>
    <cellStyle name="Normal 89 27 2" xfId="9513"/>
    <cellStyle name="Normal 89 28" xfId="5307"/>
    <cellStyle name="Normal 89 28 2" xfId="9606"/>
    <cellStyle name="Normal 89 29" xfId="5410"/>
    <cellStyle name="Normal 89 29 2" xfId="9697"/>
    <cellStyle name="Normal 89 3" xfId="1639"/>
    <cellStyle name="Normal 89 3 2" xfId="2934"/>
    <cellStyle name="Normal 89 3 2 2" xfId="7375"/>
    <cellStyle name="Normal 89 3 3" xfId="6523"/>
    <cellStyle name="Normal 89 30" xfId="5933"/>
    <cellStyle name="Normal 89 30 2" xfId="10123"/>
    <cellStyle name="Normal 89 31" xfId="6024"/>
    <cellStyle name="Normal 89 31 2" xfId="10210"/>
    <cellStyle name="Normal 89 32" xfId="6121"/>
    <cellStyle name="Normal 89 32 2" xfId="10299"/>
    <cellStyle name="Normal 89 33" xfId="6213"/>
    <cellStyle name="Normal 89 33 2" xfId="10387"/>
    <cellStyle name="Normal 89 34" xfId="1434"/>
    <cellStyle name="Normal 89 35" xfId="6342"/>
    <cellStyle name="Normal 89 4" xfId="1749"/>
    <cellStyle name="Normal 89 4 2" xfId="3024"/>
    <cellStyle name="Normal 89 4 2 2" xfId="7463"/>
    <cellStyle name="Normal 89 4 3" xfId="6612"/>
    <cellStyle name="Normal 89 5" xfId="1895"/>
    <cellStyle name="Normal 89 5 2" xfId="3119"/>
    <cellStyle name="Normal 89 5 2 2" xfId="7557"/>
    <cellStyle name="Normal 89 5 3" xfId="6704"/>
    <cellStyle name="Normal 89 6" xfId="2230"/>
    <cellStyle name="Normal 89 7" xfId="2395"/>
    <cellStyle name="Normal 89 7 2" xfId="3333"/>
    <cellStyle name="Normal 89 7 2 2" xfId="7755"/>
    <cellStyle name="Normal 89 7 3" xfId="6890"/>
    <cellStyle name="Normal 89 8" xfId="2485"/>
    <cellStyle name="Normal 89 8 2" xfId="3422"/>
    <cellStyle name="Normal 89 8 2 2" xfId="7844"/>
    <cellStyle name="Normal 89 8 3" xfId="6978"/>
    <cellStyle name="Normal 89 9" xfId="2586"/>
    <cellStyle name="Normal 89 9 2" xfId="3512"/>
    <cellStyle name="Normal 89 9 2 2" xfId="7934"/>
    <cellStyle name="Normal 89 9 3" xfId="7065"/>
    <cellStyle name="Normal 9" xfId="770"/>
    <cellStyle name="Normal 9 2" xfId="771"/>
    <cellStyle name="Normal 9 2 2" xfId="772"/>
    <cellStyle name="Normal 9 2 2 2" xfId="3217"/>
    <cellStyle name="Normal 9 2 2 2 2" xfId="7640"/>
    <cellStyle name="Normal 9 2 2 3" xfId="2233"/>
    <cellStyle name="Normal 9 2 2 4" xfId="6777"/>
    <cellStyle name="Normal 9 2 3" xfId="773"/>
    <cellStyle name="Normal 9 2 4" xfId="1182"/>
    <cellStyle name="Normal 9 2 4 2" xfId="2232"/>
    <cellStyle name="Normal 9 2 5" xfId="2650"/>
    <cellStyle name="Normal 9 2 5 2" xfId="7095"/>
    <cellStyle name="Normal 9 2 6" xfId="1235"/>
    <cellStyle name="Normal 9 2 7" xfId="6252"/>
    <cellStyle name="Normal 9 3" xfId="774"/>
    <cellStyle name="Normal 9 3 2" xfId="2234"/>
    <cellStyle name="Normal 9 3 2 2" xfId="3218"/>
    <cellStyle name="Normal 9 3 2 2 2" xfId="7641"/>
    <cellStyle name="Normal 9 3 2 3" xfId="6778"/>
    <cellStyle name="Normal 9 3 3" xfId="1435"/>
    <cellStyle name="Normal 9 4" xfId="2231"/>
    <cellStyle name="Normal 9 5" xfId="2644"/>
    <cellStyle name="Normal 9 5 2" xfId="7089"/>
    <cellStyle name="Normal 9 6" xfId="1229"/>
    <cellStyle name="Normal 9 7" xfId="6245"/>
    <cellStyle name="Normal 9 8" xfId="11005"/>
    <cellStyle name="Normal 90" xfId="775"/>
    <cellStyle name="Normal 90 10" xfId="2753"/>
    <cellStyle name="Normal 90 10 2" xfId="7194"/>
    <cellStyle name="Normal 90 11" xfId="3685"/>
    <cellStyle name="Normal 90 11 2" xfId="8088"/>
    <cellStyle name="Normal 90 12" xfId="3783"/>
    <cellStyle name="Normal 90 12 2" xfId="8178"/>
    <cellStyle name="Normal 90 13" xfId="3885"/>
    <cellStyle name="Normal 90 13 2" xfId="8274"/>
    <cellStyle name="Normal 90 14" xfId="3980"/>
    <cellStyle name="Normal 90 14 2" xfId="8362"/>
    <cellStyle name="Normal 90 15" xfId="4073"/>
    <cellStyle name="Normal 90 15 2" xfId="8451"/>
    <cellStyle name="Normal 90 16" xfId="4168"/>
    <cellStyle name="Normal 90 16 2" xfId="8538"/>
    <cellStyle name="Normal 90 17" xfId="4271"/>
    <cellStyle name="Normal 90 17 2" xfId="8632"/>
    <cellStyle name="Normal 90 18" xfId="4365"/>
    <cellStyle name="Normal 90 18 2" xfId="8721"/>
    <cellStyle name="Normal 90 19" xfId="4457"/>
    <cellStyle name="Normal 90 19 2" xfId="8808"/>
    <cellStyle name="Normal 90 2" xfId="1536"/>
    <cellStyle name="Normal 90 2 2" xfId="2845"/>
    <cellStyle name="Normal 90 2 2 2" xfId="7286"/>
    <cellStyle name="Normal 90 2 3" xfId="6434"/>
    <cellStyle name="Normal 90 20" xfId="4549"/>
    <cellStyle name="Normal 90 20 2" xfId="8896"/>
    <cellStyle name="Normal 90 21" xfId="4645"/>
    <cellStyle name="Normal 90 21 2" xfId="8985"/>
    <cellStyle name="Normal 90 22" xfId="4739"/>
    <cellStyle name="Normal 90 22 2" xfId="9073"/>
    <cellStyle name="Normal 90 23" xfId="4833"/>
    <cellStyle name="Normal 90 23 2" xfId="9162"/>
    <cellStyle name="Normal 90 24" xfId="4927"/>
    <cellStyle name="Normal 90 24 2" xfId="9250"/>
    <cellStyle name="Normal 90 25" xfId="5019"/>
    <cellStyle name="Normal 90 25 2" xfId="9339"/>
    <cellStyle name="Normal 90 26" xfId="5113"/>
    <cellStyle name="Normal 90 26 2" xfId="9427"/>
    <cellStyle name="Normal 90 27" xfId="5209"/>
    <cellStyle name="Normal 90 27 2" xfId="9514"/>
    <cellStyle name="Normal 90 28" xfId="5308"/>
    <cellStyle name="Normal 90 28 2" xfId="9607"/>
    <cellStyle name="Normal 90 29" xfId="5411"/>
    <cellStyle name="Normal 90 29 2" xfId="9698"/>
    <cellStyle name="Normal 90 3" xfId="1640"/>
    <cellStyle name="Normal 90 3 2" xfId="2935"/>
    <cellStyle name="Normal 90 3 2 2" xfId="7376"/>
    <cellStyle name="Normal 90 3 3" xfId="6524"/>
    <cellStyle name="Normal 90 30" xfId="5934"/>
    <cellStyle name="Normal 90 30 2" xfId="10124"/>
    <cellStyle name="Normal 90 31" xfId="6025"/>
    <cellStyle name="Normal 90 31 2" xfId="10211"/>
    <cellStyle name="Normal 90 32" xfId="6122"/>
    <cellStyle name="Normal 90 32 2" xfId="10300"/>
    <cellStyle name="Normal 90 33" xfId="6214"/>
    <cellStyle name="Normal 90 33 2" xfId="10388"/>
    <cellStyle name="Normal 90 34" xfId="1436"/>
    <cellStyle name="Normal 90 35" xfId="6343"/>
    <cellStyle name="Normal 90 4" xfId="1750"/>
    <cellStyle name="Normal 90 4 2" xfId="3025"/>
    <cellStyle name="Normal 90 4 2 2" xfId="7464"/>
    <cellStyle name="Normal 90 4 3" xfId="6613"/>
    <cellStyle name="Normal 90 5" xfId="1896"/>
    <cellStyle name="Normal 90 5 2" xfId="3120"/>
    <cellStyle name="Normal 90 5 2 2" xfId="7558"/>
    <cellStyle name="Normal 90 5 3" xfId="6705"/>
    <cellStyle name="Normal 90 6" xfId="2235"/>
    <cellStyle name="Normal 90 7" xfId="2396"/>
    <cellStyle name="Normal 90 7 2" xfId="3334"/>
    <cellStyle name="Normal 90 7 2 2" xfId="7756"/>
    <cellStyle name="Normal 90 7 3" xfId="6891"/>
    <cellStyle name="Normal 90 8" xfId="2486"/>
    <cellStyle name="Normal 90 8 2" xfId="3423"/>
    <cellStyle name="Normal 90 8 2 2" xfId="7845"/>
    <cellStyle name="Normal 90 8 3" xfId="6979"/>
    <cellStyle name="Normal 90 9" xfId="2587"/>
    <cellStyle name="Normal 90 9 2" xfId="3513"/>
    <cellStyle name="Normal 90 9 2 2" xfId="7935"/>
    <cellStyle name="Normal 90 9 3" xfId="7066"/>
    <cellStyle name="Normal 91" xfId="776"/>
    <cellStyle name="Normal 91 10" xfId="2754"/>
    <cellStyle name="Normal 91 10 2" xfId="7195"/>
    <cellStyle name="Normal 91 11" xfId="3686"/>
    <cellStyle name="Normal 91 11 2" xfId="8089"/>
    <cellStyle name="Normal 91 12" xfId="3784"/>
    <cellStyle name="Normal 91 12 2" xfId="8179"/>
    <cellStyle name="Normal 91 13" xfId="3886"/>
    <cellStyle name="Normal 91 13 2" xfId="8275"/>
    <cellStyle name="Normal 91 14" xfId="3981"/>
    <cellStyle name="Normal 91 14 2" xfId="8363"/>
    <cellStyle name="Normal 91 15" xfId="4074"/>
    <cellStyle name="Normal 91 15 2" xfId="8452"/>
    <cellStyle name="Normal 91 16" xfId="4169"/>
    <cellStyle name="Normal 91 16 2" xfId="8539"/>
    <cellStyle name="Normal 91 17" xfId="4272"/>
    <cellStyle name="Normal 91 17 2" xfId="8633"/>
    <cellStyle name="Normal 91 18" xfId="4366"/>
    <cellStyle name="Normal 91 18 2" xfId="8722"/>
    <cellStyle name="Normal 91 19" xfId="4458"/>
    <cellStyle name="Normal 91 19 2" xfId="8809"/>
    <cellStyle name="Normal 91 2" xfId="1537"/>
    <cellStyle name="Normal 91 2 2" xfId="2846"/>
    <cellStyle name="Normal 91 2 2 2" xfId="7287"/>
    <cellStyle name="Normal 91 2 3" xfId="6435"/>
    <cellStyle name="Normal 91 20" xfId="4550"/>
    <cellStyle name="Normal 91 20 2" xfId="8897"/>
    <cellStyle name="Normal 91 21" xfId="4646"/>
    <cellStyle name="Normal 91 21 2" xfId="8986"/>
    <cellStyle name="Normal 91 22" xfId="4740"/>
    <cellStyle name="Normal 91 22 2" xfId="9074"/>
    <cellStyle name="Normal 91 23" xfId="4834"/>
    <cellStyle name="Normal 91 23 2" xfId="9163"/>
    <cellStyle name="Normal 91 24" xfId="4928"/>
    <cellStyle name="Normal 91 24 2" xfId="9251"/>
    <cellStyle name="Normal 91 25" xfId="5020"/>
    <cellStyle name="Normal 91 25 2" xfId="9340"/>
    <cellStyle name="Normal 91 26" xfId="5114"/>
    <cellStyle name="Normal 91 26 2" xfId="9428"/>
    <cellStyle name="Normal 91 27" xfId="5210"/>
    <cellStyle name="Normal 91 27 2" xfId="9515"/>
    <cellStyle name="Normal 91 28" xfId="5309"/>
    <cellStyle name="Normal 91 28 2" xfId="9608"/>
    <cellStyle name="Normal 91 29" xfId="5412"/>
    <cellStyle name="Normal 91 29 2" xfId="9699"/>
    <cellStyle name="Normal 91 3" xfId="1641"/>
    <cellStyle name="Normal 91 3 2" xfId="2936"/>
    <cellStyle name="Normal 91 3 2 2" xfId="7377"/>
    <cellStyle name="Normal 91 3 3" xfId="6525"/>
    <cellStyle name="Normal 91 30" xfId="5935"/>
    <cellStyle name="Normal 91 30 2" xfId="10125"/>
    <cellStyle name="Normal 91 31" xfId="6026"/>
    <cellStyle name="Normal 91 31 2" xfId="10212"/>
    <cellStyle name="Normal 91 32" xfId="6123"/>
    <cellStyle name="Normal 91 32 2" xfId="10301"/>
    <cellStyle name="Normal 91 33" xfId="6215"/>
    <cellStyle name="Normal 91 33 2" xfId="10389"/>
    <cellStyle name="Normal 91 34" xfId="1437"/>
    <cellStyle name="Normal 91 35" xfId="6344"/>
    <cellStyle name="Normal 91 4" xfId="1751"/>
    <cellStyle name="Normal 91 4 2" xfId="3026"/>
    <cellStyle name="Normal 91 4 2 2" xfId="7465"/>
    <cellStyle name="Normal 91 4 3" xfId="6614"/>
    <cellStyle name="Normal 91 5" xfId="1897"/>
    <cellStyle name="Normal 91 5 2" xfId="3121"/>
    <cellStyle name="Normal 91 5 2 2" xfId="7559"/>
    <cellStyle name="Normal 91 5 3" xfId="6706"/>
    <cellStyle name="Normal 91 6" xfId="2236"/>
    <cellStyle name="Normal 91 7" xfId="2397"/>
    <cellStyle name="Normal 91 7 2" xfId="3335"/>
    <cellStyle name="Normal 91 7 2 2" xfId="7757"/>
    <cellStyle name="Normal 91 7 3" xfId="6892"/>
    <cellStyle name="Normal 91 8" xfId="2487"/>
    <cellStyle name="Normal 91 8 2" xfId="3424"/>
    <cellStyle name="Normal 91 8 2 2" xfId="7846"/>
    <cellStyle name="Normal 91 8 3" xfId="6980"/>
    <cellStyle name="Normal 91 9" xfId="2588"/>
    <cellStyle name="Normal 91 9 2" xfId="3514"/>
    <cellStyle name="Normal 91 9 2 2" xfId="7936"/>
    <cellStyle name="Normal 91 9 3" xfId="7067"/>
    <cellStyle name="Normal 92" xfId="777"/>
    <cellStyle name="Normal 92 10" xfId="2755"/>
    <cellStyle name="Normal 92 10 2" xfId="7196"/>
    <cellStyle name="Normal 92 11" xfId="3687"/>
    <cellStyle name="Normal 92 11 2" xfId="8090"/>
    <cellStyle name="Normal 92 12" xfId="3785"/>
    <cellStyle name="Normal 92 12 2" xfId="8180"/>
    <cellStyle name="Normal 92 13" xfId="3887"/>
    <cellStyle name="Normal 92 13 2" xfId="8276"/>
    <cellStyle name="Normal 92 14" xfId="3982"/>
    <cellStyle name="Normal 92 14 2" xfId="8364"/>
    <cellStyle name="Normal 92 15" xfId="4075"/>
    <cellStyle name="Normal 92 15 2" xfId="8453"/>
    <cellStyle name="Normal 92 16" xfId="4170"/>
    <cellStyle name="Normal 92 16 2" xfId="8540"/>
    <cellStyle name="Normal 92 17" xfId="4273"/>
    <cellStyle name="Normal 92 17 2" xfId="8634"/>
    <cellStyle name="Normal 92 18" xfId="4367"/>
    <cellStyle name="Normal 92 18 2" xfId="8723"/>
    <cellStyle name="Normal 92 19" xfId="4459"/>
    <cellStyle name="Normal 92 19 2" xfId="8810"/>
    <cellStyle name="Normal 92 2" xfId="1538"/>
    <cellStyle name="Normal 92 2 2" xfId="2847"/>
    <cellStyle name="Normal 92 2 2 2" xfId="7288"/>
    <cellStyle name="Normal 92 2 3" xfId="6436"/>
    <cellStyle name="Normal 92 20" xfId="4551"/>
    <cellStyle name="Normal 92 20 2" xfId="8898"/>
    <cellStyle name="Normal 92 21" xfId="4647"/>
    <cellStyle name="Normal 92 21 2" xfId="8987"/>
    <cellStyle name="Normal 92 22" xfId="4741"/>
    <cellStyle name="Normal 92 22 2" xfId="9075"/>
    <cellStyle name="Normal 92 23" xfId="4835"/>
    <cellStyle name="Normal 92 23 2" xfId="9164"/>
    <cellStyle name="Normal 92 24" xfId="4929"/>
    <cellStyle name="Normal 92 24 2" xfId="9252"/>
    <cellStyle name="Normal 92 25" xfId="5021"/>
    <cellStyle name="Normal 92 25 2" xfId="9341"/>
    <cellStyle name="Normal 92 26" xfId="5115"/>
    <cellStyle name="Normal 92 26 2" xfId="9429"/>
    <cellStyle name="Normal 92 27" xfId="5211"/>
    <cellStyle name="Normal 92 27 2" xfId="9516"/>
    <cellStyle name="Normal 92 28" xfId="5310"/>
    <cellStyle name="Normal 92 28 2" xfId="9609"/>
    <cellStyle name="Normal 92 29" xfId="5413"/>
    <cellStyle name="Normal 92 29 2" xfId="9700"/>
    <cellStyle name="Normal 92 3" xfId="1642"/>
    <cellStyle name="Normal 92 3 2" xfId="2937"/>
    <cellStyle name="Normal 92 3 2 2" xfId="7378"/>
    <cellStyle name="Normal 92 3 3" xfId="6526"/>
    <cellStyle name="Normal 92 30" xfId="5936"/>
    <cellStyle name="Normal 92 30 2" xfId="10126"/>
    <cellStyle name="Normal 92 31" xfId="6027"/>
    <cellStyle name="Normal 92 31 2" xfId="10213"/>
    <cellStyle name="Normal 92 32" xfId="6124"/>
    <cellStyle name="Normal 92 32 2" xfId="10302"/>
    <cellStyle name="Normal 92 33" xfId="6216"/>
    <cellStyle name="Normal 92 33 2" xfId="10390"/>
    <cellStyle name="Normal 92 34" xfId="1438"/>
    <cellStyle name="Normal 92 35" xfId="6345"/>
    <cellStyle name="Normal 92 4" xfId="1752"/>
    <cellStyle name="Normal 92 4 2" xfId="3027"/>
    <cellStyle name="Normal 92 4 2 2" xfId="7466"/>
    <cellStyle name="Normal 92 4 3" xfId="6615"/>
    <cellStyle name="Normal 92 5" xfId="1898"/>
    <cellStyle name="Normal 92 5 2" xfId="3122"/>
    <cellStyle name="Normal 92 5 2 2" xfId="7560"/>
    <cellStyle name="Normal 92 5 3" xfId="6707"/>
    <cellStyle name="Normal 92 6" xfId="2237"/>
    <cellStyle name="Normal 92 7" xfId="2398"/>
    <cellStyle name="Normal 92 7 2" xfId="3336"/>
    <cellStyle name="Normal 92 7 2 2" xfId="7758"/>
    <cellStyle name="Normal 92 7 3" xfId="6893"/>
    <cellStyle name="Normal 92 8" xfId="2488"/>
    <cellStyle name="Normal 92 8 2" xfId="3425"/>
    <cellStyle name="Normal 92 8 2 2" xfId="7847"/>
    <cellStyle name="Normal 92 8 3" xfId="6981"/>
    <cellStyle name="Normal 92 9" xfId="2589"/>
    <cellStyle name="Normal 92 9 2" xfId="3515"/>
    <cellStyle name="Normal 92 9 2 2" xfId="7937"/>
    <cellStyle name="Normal 92 9 3" xfId="7068"/>
    <cellStyle name="Normal 93" xfId="778"/>
    <cellStyle name="Normal 93 10" xfId="2756"/>
    <cellStyle name="Normal 93 10 2" xfId="7197"/>
    <cellStyle name="Normal 93 11" xfId="3688"/>
    <cellStyle name="Normal 93 11 2" xfId="8091"/>
    <cellStyle name="Normal 93 12" xfId="3786"/>
    <cellStyle name="Normal 93 12 2" xfId="8181"/>
    <cellStyle name="Normal 93 13" xfId="3888"/>
    <cellStyle name="Normal 93 13 2" xfId="8277"/>
    <cellStyle name="Normal 93 14" xfId="3983"/>
    <cellStyle name="Normal 93 14 2" xfId="8365"/>
    <cellStyle name="Normal 93 15" xfId="4076"/>
    <cellStyle name="Normal 93 15 2" xfId="8454"/>
    <cellStyle name="Normal 93 16" xfId="4171"/>
    <cellStyle name="Normal 93 16 2" xfId="8541"/>
    <cellStyle name="Normal 93 17" xfId="4274"/>
    <cellStyle name="Normal 93 17 2" xfId="8635"/>
    <cellStyle name="Normal 93 18" xfId="4368"/>
    <cellStyle name="Normal 93 18 2" xfId="8724"/>
    <cellStyle name="Normal 93 19" xfId="4460"/>
    <cellStyle name="Normal 93 19 2" xfId="8811"/>
    <cellStyle name="Normal 93 2" xfId="1539"/>
    <cellStyle name="Normal 93 2 2" xfId="2848"/>
    <cellStyle name="Normal 93 2 2 2" xfId="7289"/>
    <cellStyle name="Normal 93 2 3" xfId="6437"/>
    <cellStyle name="Normal 93 20" xfId="4552"/>
    <cellStyle name="Normal 93 20 2" xfId="8899"/>
    <cellStyle name="Normal 93 21" xfId="4648"/>
    <cellStyle name="Normal 93 21 2" xfId="8988"/>
    <cellStyle name="Normal 93 22" xfId="4742"/>
    <cellStyle name="Normal 93 22 2" xfId="9076"/>
    <cellStyle name="Normal 93 23" xfId="4836"/>
    <cellStyle name="Normal 93 23 2" xfId="9165"/>
    <cellStyle name="Normal 93 24" xfId="4930"/>
    <cellStyle name="Normal 93 24 2" xfId="9253"/>
    <cellStyle name="Normal 93 25" xfId="5022"/>
    <cellStyle name="Normal 93 25 2" xfId="9342"/>
    <cellStyle name="Normal 93 26" xfId="5116"/>
    <cellStyle name="Normal 93 26 2" xfId="9430"/>
    <cellStyle name="Normal 93 27" xfId="5212"/>
    <cellStyle name="Normal 93 27 2" xfId="9517"/>
    <cellStyle name="Normal 93 28" xfId="5311"/>
    <cellStyle name="Normal 93 28 2" xfId="9610"/>
    <cellStyle name="Normal 93 29" xfId="5414"/>
    <cellStyle name="Normal 93 29 2" xfId="9701"/>
    <cellStyle name="Normal 93 3" xfId="1643"/>
    <cellStyle name="Normal 93 3 2" xfId="2938"/>
    <cellStyle name="Normal 93 3 2 2" xfId="7379"/>
    <cellStyle name="Normal 93 3 3" xfId="6527"/>
    <cellStyle name="Normal 93 30" xfId="5937"/>
    <cellStyle name="Normal 93 30 2" xfId="10127"/>
    <cellStyle name="Normal 93 31" xfId="6028"/>
    <cellStyle name="Normal 93 31 2" xfId="10214"/>
    <cellStyle name="Normal 93 32" xfId="6125"/>
    <cellStyle name="Normal 93 32 2" xfId="10303"/>
    <cellStyle name="Normal 93 33" xfId="6217"/>
    <cellStyle name="Normal 93 33 2" xfId="10391"/>
    <cellStyle name="Normal 93 34" xfId="1439"/>
    <cellStyle name="Normal 93 35" xfId="6346"/>
    <cellStyle name="Normal 93 4" xfId="1753"/>
    <cellStyle name="Normal 93 4 2" xfId="3028"/>
    <cellStyle name="Normal 93 4 2 2" xfId="7467"/>
    <cellStyle name="Normal 93 4 3" xfId="6616"/>
    <cellStyle name="Normal 93 5" xfId="1899"/>
    <cellStyle name="Normal 93 5 2" xfId="3123"/>
    <cellStyle name="Normal 93 5 2 2" xfId="7561"/>
    <cellStyle name="Normal 93 5 3" xfId="6708"/>
    <cellStyle name="Normal 93 6" xfId="2238"/>
    <cellStyle name="Normal 93 7" xfId="2399"/>
    <cellStyle name="Normal 93 7 2" xfId="3337"/>
    <cellStyle name="Normal 93 7 2 2" xfId="7759"/>
    <cellStyle name="Normal 93 7 3" xfId="6894"/>
    <cellStyle name="Normal 93 8" xfId="2489"/>
    <cellStyle name="Normal 93 8 2" xfId="3426"/>
    <cellStyle name="Normal 93 8 2 2" xfId="7848"/>
    <cellStyle name="Normal 93 8 3" xfId="6982"/>
    <cellStyle name="Normal 93 9" xfId="2590"/>
    <cellStyle name="Normal 93 9 2" xfId="3516"/>
    <cellStyle name="Normal 93 9 2 2" xfId="7938"/>
    <cellStyle name="Normal 93 9 3" xfId="7069"/>
    <cellStyle name="Normal 94" xfId="779"/>
    <cellStyle name="Normal 94 10" xfId="2757"/>
    <cellStyle name="Normal 94 10 2" xfId="7198"/>
    <cellStyle name="Normal 94 11" xfId="3689"/>
    <cellStyle name="Normal 94 11 2" xfId="8092"/>
    <cellStyle name="Normal 94 12" xfId="3787"/>
    <cellStyle name="Normal 94 12 2" xfId="8182"/>
    <cellStyle name="Normal 94 13" xfId="3889"/>
    <cellStyle name="Normal 94 13 2" xfId="8278"/>
    <cellStyle name="Normal 94 14" xfId="3984"/>
    <cellStyle name="Normal 94 14 2" xfId="8366"/>
    <cellStyle name="Normal 94 15" xfId="4077"/>
    <cellStyle name="Normal 94 15 2" xfId="8455"/>
    <cellStyle name="Normal 94 16" xfId="4172"/>
    <cellStyle name="Normal 94 16 2" xfId="8542"/>
    <cellStyle name="Normal 94 17" xfId="4275"/>
    <cellStyle name="Normal 94 17 2" xfId="8636"/>
    <cellStyle name="Normal 94 18" xfId="4369"/>
    <cellStyle name="Normal 94 18 2" xfId="8725"/>
    <cellStyle name="Normal 94 19" xfId="4461"/>
    <cellStyle name="Normal 94 19 2" xfId="8812"/>
    <cellStyle name="Normal 94 2" xfId="1540"/>
    <cellStyle name="Normal 94 2 2" xfId="2849"/>
    <cellStyle name="Normal 94 2 2 2" xfId="7290"/>
    <cellStyle name="Normal 94 2 3" xfId="6438"/>
    <cellStyle name="Normal 94 20" xfId="4553"/>
    <cellStyle name="Normal 94 20 2" xfId="8900"/>
    <cellStyle name="Normal 94 21" xfId="4649"/>
    <cellStyle name="Normal 94 21 2" xfId="8989"/>
    <cellStyle name="Normal 94 22" xfId="4743"/>
    <cellStyle name="Normal 94 22 2" xfId="9077"/>
    <cellStyle name="Normal 94 23" xfId="4837"/>
    <cellStyle name="Normal 94 23 2" xfId="9166"/>
    <cellStyle name="Normal 94 24" xfId="4931"/>
    <cellStyle name="Normal 94 24 2" xfId="9254"/>
    <cellStyle name="Normal 94 25" xfId="5023"/>
    <cellStyle name="Normal 94 25 2" xfId="9343"/>
    <cellStyle name="Normal 94 26" xfId="5117"/>
    <cellStyle name="Normal 94 26 2" xfId="9431"/>
    <cellStyle name="Normal 94 27" xfId="5213"/>
    <cellStyle name="Normal 94 27 2" xfId="9518"/>
    <cellStyle name="Normal 94 28" xfId="5312"/>
    <cellStyle name="Normal 94 28 2" xfId="9611"/>
    <cellStyle name="Normal 94 29" xfId="5415"/>
    <cellStyle name="Normal 94 29 2" xfId="9702"/>
    <cellStyle name="Normal 94 3" xfId="1644"/>
    <cellStyle name="Normal 94 3 2" xfId="2939"/>
    <cellStyle name="Normal 94 3 2 2" xfId="7380"/>
    <cellStyle name="Normal 94 3 3" xfId="6528"/>
    <cellStyle name="Normal 94 30" xfId="5938"/>
    <cellStyle name="Normal 94 30 2" xfId="10128"/>
    <cellStyle name="Normal 94 31" xfId="6029"/>
    <cellStyle name="Normal 94 31 2" xfId="10215"/>
    <cellStyle name="Normal 94 32" xfId="6126"/>
    <cellStyle name="Normal 94 32 2" xfId="10304"/>
    <cellStyle name="Normal 94 33" xfId="6218"/>
    <cellStyle name="Normal 94 33 2" xfId="10392"/>
    <cellStyle name="Normal 94 34" xfId="1440"/>
    <cellStyle name="Normal 94 35" xfId="6347"/>
    <cellStyle name="Normal 94 4" xfId="1754"/>
    <cellStyle name="Normal 94 4 2" xfId="3029"/>
    <cellStyle name="Normal 94 4 2 2" xfId="7468"/>
    <cellStyle name="Normal 94 4 3" xfId="6617"/>
    <cellStyle name="Normal 94 5" xfId="1900"/>
    <cellStyle name="Normal 94 5 2" xfId="3124"/>
    <cellStyle name="Normal 94 5 2 2" xfId="7562"/>
    <cellStyle name="Normal 94 5 3" xfId="6709"/>
    <cellStyle name="Normal 94 6" xfId="2239"/>
    <cellStyle name="Normal 94 7" xfId="2400"/>
    <cellStyle name="Normal 94 7 2" xfId="3338"/>
    <cellStyle name="Normal 94 7 2 2" xfId="7760"/>
    <cellStyle name="Normal 94 7 3" xfId="6895"/>
    <cellStyle name="Normal 94 8" xfId="2490"/>
    <cellStyle name="Normal 94 8 2" xfId="3427"/>
    <cellStyle name="Normal 94 8 2 2" xfId="7849"/>
    <cellStyle name="Normal 94 8 3" xfId="6983"/>
    <cellStyle name="Normal 94 9" xfId="2591"/>
    <cellStyle name="Normal 94 9 2" xfId="3517"/>
    <cellStyle name="Normal 94 9 2 2" xfId="7939"/>
    <cellStyle name="Normal 94 9 3" xfId="7070"/>
    <cellStyle name="Normal 95" xfId="780"/>
    <cellStyle name="Normal 95 10" xfId="2758"/>
    <cellStyle name="Normal 95 10 2" xfId="7199"/>
    <cellStyle name="Normal 95 11" xfId="3690"/>
    <cellStyle name="Normal 95 11 2" xfId="8093"/>
    <cellStyle name="Normal 95 12" xfId="3788"/>
    <cellStyle name="Normal 95 12 2" xfId="8183"/>
    <cellStyle name="Normal 95 13" xfId="3890"/>
    <cellStyle name="Normal 95 13 2" xfId="8279"/>
    <cellStyle name="Normal 95 14" xfId="3985"/>
    <cellStyle name="Normal 95 14 2" xfId="8367"/>
    <cellStyle name="Normal 95 15" xfId="4078"/>
    <cellStyle name="Normal 95 15 2" xfId="8456"/>
    <cellStyle name="Normal 95 16" xfId="4173"/>
    <cellStyle name="Normal 95 16 2" xfId="8543"/>
    <cellStyle name="Normal 95 17" xfId="4276"/>
    <cellStyle name="Normal 95 17 2" xfId="8637"/>
    <cellStyle name="Normal 95 18" xfId="4370"/>
    <cellStyle name="Normal 95 18 2" xfId="8726"/>
    <cellStyle name="Normal 95 19" xfId="4462"/>
    <cellStyle name="Normal 95 19 2" xfId="8813"/>
    <cellStyle name="Normal 95 2" xfId="1541"/>
    <cellStyle name="Normal 95 2 2" xfId="2850"/>
    <cellStyle name="Normal 95 2 2 2" xfId="7291"/>
    <cellStyle name="Normal 95 2 3" xfId="6439"/>
    <cellStyle name="Normal 95 20" xfId="4554"/>
    <cellStyle name="Normal 95 20 2" xfId="8901"/>
    <cellStyle name="Normal 95 21" xfId="4650"/>
    <cellStyle name="Normal 95 21 2" xfId="8990"/>
    <cellStyle name="Normal 95 22" xfId="4744"/>
    <cellStyle name="Normal 95 22 2" xfId="9078"/>
    <cellStyle name="Normal 95 23" xfId="4838"/>
    <cellStyle name="Normal 95 23 2" xfId="9167"/>
    <cellStyle name="Normal 95 24" xfId="4932"/>
    <cellStyle name="Normal 95 24 2" xfId="9255"/>
    <cellStyle name="Normal 95 25" xfId="5024"/>
    <cellStyle name="Normal 95 25 2" xfId="9344"/>
    <cellStyle name="Normal 95 26" xfId="5118"/>
    <cellStyle name="Normal 95 26 2" xfId="9432"/>
    <cellStyle name="Normal 95 27" xfId="5214"/>
    <cellStyle name="Normal 95 27 2" xfId="9519"/>
    <cellStyle name="Normal 95 28" xfId="5313"/>
    <cellStyle name="Normal 95 28 2" xfId="9612"/>
    <cellStyle name="Normal 95 29" xfId="5416"/>
    <cellStyle name="Normal 95 29 2" xfId="9703"/>
    <cellStyle name="Normal 95 3" xfId="1645"/>
    <cellStyle name="Normal 95 3 2" xfId="2940"/>
    <cellStyle name="Normal 95 3 2 2" xfId="7381"/>
    <cellStyle name="Normal 95 3 3" xfId="6529"/>
    <cellStyle name="Normal 95 30" xfId="5939"/>
    <cellStyle name="Normal 95 30 2" xfId="10129"/>
    <cellStyle name="Normal 95 31" xfId="6030"/>
    <cellStyle name="Normal 95 31 2" xfId="10216"/>
    <cellStyle name="Normal 95 32" xfId="6127"/>
    <cellStyle name="Normal 95 32 2" xfId="10305"/>
    <cellStyle name="Normal 95 33" xfId="6219"/>
    <cellStyle name="Normal 95 33 2" xfId="10393"/>
    <cellStyle name="Normal 95 34" xfId="1441"/>
    <cellStyle name="Normal 95 35" xfId="6348"/>
    <cellStyle name="Normal 95 4" xfId="1755"/>
    <cellStyle name="Normal 95 4 2" xfId="3030"/>
    <cellStyle name="Normal 95 4 2 2" xfId="7469"/>
    <cellStyle name="Normal 95 4 3" xfId="6618"/>
    <cellStyle name="Normal 95 5" xfId="1901"/>
    <cellStyle name="Normal 95 5 2" xfId="3125"/>
    <cellStyle name="Normal 95 5 2 2" xfId="7563"/>
    <cellStyle name="Normal 95 5 3" xfId="6710"/>
    <cellStyle name="Normal 95 6" xfId="2240"/>
    <cellStyle name="Normal 95 7" xfId="2401"/>
    <cellStyle name="Normal 95 7 2" xfId="3339"/>
    <cellStyle name="Normal 95 7 2 2" xfId="7761"/>
    <cellStyle name="Normal 95 7 3" xfId="6896"/>
    <cellStyle name="Normal 95 8" xfId="2491"/>
    <cellStyle name="Normal 95 8 2" xfId="3428"/>
    <cellStyle name="Normal 95 8 2 2" xfId="7850"/>
    <cellStyle name="Normal 95 8 3" xfId="6984"/>
    <cellStyle name="Normal 95 9" xfId="2592"/>
    <cellStyle name="Normal 95 9 2" xfId="3518"/>
    <cellStyle name="Normal 95 9 2 2" xfId="7940"/>
    <cellStyle name="Normal 95 9 3" xfId="7071"/>
    <cellStyle name="Normal 96" xfId="781"/>
    <cellStyle name="Normal 96 10" xfId="2759"/>
    <cellStyle name="Normal 96 10 2" xfId="7200"/>
    <cellStyle name="Normal 96 11" xfId="3691"/>
    <cellStyle name="Normal 96 11 2" xfId="8094"/>
    <cellStyle name="Normal 96 12" xfId="3789"/>
    <cellStyle name="Normal 96 12 2" xfId="8184"/>
    <cellStyle name="Normal 96 13" xfId="3891"/>
    <cellStyle name="Normal 96 13 2" xfId="8280"/>
    <cellStyle name="Normal 96 14" xfId="3986"/>
    <cellStyle name="Normal 96 14 2" xfId="8368"/>
    <cellStyle name="Normal 96 15" xfId="4079"/>
    <cellStyle name="Normal 96 15 2" xfId="8457"/>
    <cellStyle name="Normal 96 16" xfId="4174"/>
    <cellStyle name="Normal 96 16 2" xfId="8544"/>
    <cellStyle name="Normal 96 17" xfId="4277"/>
    <cellStyle name="Normal 96 17 2" xfId="8638"/>
    <cellStyle name="Normal 96 18" xfId="4371"/>
    <cellStyle name="Normal 96 18 2" xfId="8727"/>
    <cellStyle name="Normal 96 19" xfId="4463"/>
    <cellStyle name="Normal 96 19 2" xfId="8814"/>
    <cellStyle name="Normal 96 2" xfId="1542"/>
    <cellStyle name="Normal 96 2 2" xfId="2851"/>
    <cellStyle name="Normal 96 2 2 2" xfId="7292"/>
    <cellStyle name="Normal 96 2 3" xfId="6440"/>
    <cellStyle name="Normal 96 20" xfId="4555"/>
    <cellStyle name="Normal 96 20 2" xfId="8902"/>
    <cellStyle name="Normal 96 21" xfId="4651"/>
    <cellStyle name="Normal 96 21 2" xfId="8991"/>
    <cellStyle name="Normal 96 22" xfId="4745"/>
    <cellStyle name="Normal 96 22 2" xfId="9079"/>
    <cellStyle name="Normal 96 23" xfId="4839"/>
    <cellStyle name="Normal 96 23 2" xfId="9168"/>
    <cellStyle name="Normal 96 24" xfId="4933"/>
    <cellStyle name="Normal 96 24 2" xfId="9256"/>
    <cellStyle name="Normal 96 25" xfId="5025"/>
    <cellStyle name="Normal 96 25 2" xfId="9345"/>
    <cellStyle name="Normal 96 26" xfId="5119"/>
    <cellStyle name="Normal 96 26 2" xfId="9433"/>
    <cellStyle name="Normal 96 27" xfId="5215"/>
    <cellStyle name="Normal 96 27 2" xfId="9520"/>
    <cellStyle name="Normal 96 28" xfId="5314"/>
    <cellStyle name="Normal 96 28 2" xfId="9613"/>
    <cellStyle name="Normal 96 29" xfId="5417"/>
    <cellStyle name="Normal 96 29 2" xfId="9704"/>
    <cellStyle name="Normal 96 3" xfId="1646"/>
    <cellStyle name="Normal 96 3 2" xfId="2941"/>
    <cellStyle name="Normal 96 3 2 2" xfId="7382"/>
    <cellStyle name="Normal 96 3 3" xfId="6530"/>
    <cellStyle name="Normal 96 30" xfId="5940"/>
    <cellStyle name="Normal 96 30 2" xfId="10130"/>
    <cellStyle name="Normal 96 31" xfId="6031"/>
    <cellStyle name="Normal 96 31 2" xfId="10217"/>
    <cellStyle name="Normal 96 32" xfId="6128"/>
    <cellStyle name="Normal 96 32 2" xfId="10306"/>
    <cellStyle name="Normal 96 33" xfId="6220"/>
    <cellStyle name="Normal 96 33 2" xfId="10394"/>
    <cellStyle name="Normal 96 34" xfId="1442"/>
    <cellStyle name="Normal 96 35" xfId="6349"/>
    <cellStyle name="Normal 96 4" xfId="1756"/>
    <cellStyle name="Normal 96 4 2" xfId="3031"/>
    <cellStyle name="Normal 96 4 2 2" xfId="7470"/>
    <cellStyle name="Normal 96 4 3" xfId="6619"/>
    <cellStyle name="Normal 96 5" xfId="1902"/>
    <cellStyle name="Normal 96 5 2" xfId="3126"/>
    <cellStyle name="Normal 96 5 2 2" xfId="7564"/>
    <cellStyle name="Normal 96 5 3" xfId="6711"/>
    <cellStyle name="Normal 96 6" xfId="2241"/>
    <cellStyle name="Normal 96 7" xfId="2402"/>
    <cellStyle name="Normal 96 7 2" xfId="3340"/>
    <cellStyle name="Normal 96 7 2 2" xfId="7762"/>
    <cellStyle name="Normal 96 7 3" xfId="6897"/>
    <cellStyle name="Normal 96 8" xfId="2492"/>
    <cellStyle name="Normal 96 8 2" xfId="3429"/>
    <cellStyle name="Normal 96 8 2 2" xfId="7851"/>
    <cellStyle name="Normal 96 8 3" xfId="6985"/>
    <cellStyle name="Normal 96 9" xfId="2593"/>
    <cellStyle name="Normal 96 9 2" xfId="3519"/>
    <cellStyle name="Normal 96 9 2 2" xfId="7941"/>
    <cellStyle name="Normal 96 9 3" xfId="7072"/>
    <cellStyle name="Normal 97" xfId="782"/>
    <cellStyle name="Normal 97 10" xfId="2760"/>
    <cellStyle name="Normal 97 10 2" xfId="7201"/>
    <cellStyle name="Normal 97 11" xfId="3692"/>
    <cellStyle name="Normal 97 11 2" xfId="8095"/>
    <cellStyle name="Normal 97 12" xfId="3790"/>
    <cellStyle name="Normal 97 12 2" xfId="8185"/>
    <cellStyle name="Normal 97 13" xfId="3892"/>
    <cellStyle name="Normal 97 13 2" xfId="8281"/>
    <cellStyle name="Normal 97 14" xfId="3987"/>
    <cellStyle name="Normal 97 14 2" xfId="8369"/>
    <cellStyle name="Normal 97 15" xfId="4080"/>
    <cellStyle name="Normal 97 15 2" xfId="8458"/>
    <cellStyle name="Normal 97 16" xfId="4175"/>
    <cellStyle name="Normal 97 16 2" xfId="8545"/>
    <cellStyle name="Normal 97 17" xfId="4278"/>
    <cellStyle name="Normal 97 17 2" xfId="8639"/>
    <cellStyle name="Normal 97 18" xfId="4372"/>
    <cellStyle name="Normal 97 18 2" xfId="8728"/>
    <cellStyle name="Normal 97 19" xfId="4464"/>
    <cellStyle name="Normal 97 19 2" xfId="8815"/>
    <cellStyle name="Normal 97 2" xfId="1543"/>
    <cellStyle name="Normal 97 2 2" xfId="2852"/>
    <cellStyle name="Normal 97 2 2 2" xfId="7293"/>
    <cellStyle name="Normal 97 2 3" xfId="6441"/>
    <cellStyle name="Normal 97 20" xfId="4556"/>
    <cellStyle name="Normal 97 20 2" xfId="8903"/>
    <cellStyle name="Normal 97 21" xfId="4652"/>
    <cellStyle name="Normal 97 21 2" xfId="8992"/>
    <cellStyle name="Normal 97 22" xfId="4746"/>
    <cellStyle name="Normal 97 22 2" xfId="9080"/>
    <cellStyle name="Normal 97 23" xfId="4840"/>
    <cellStyle name="Normal 97 23 2" xfId="9169"/>
    <cellStyle name="Normal 97 24" xfId="4934"/>
    <cellStyle name="Normal 97 24 2" xfId="9257"/>
    <cellStyle name="Normal 97 25" xfId="5026"/>
    <cellStyle name="Normal 97 25 2" xfId="9346"/>
    <cellStyle name="Normal 97 26" xfId="5120"/>
    <cellStyle name="Normal 97 26 2" xfId="9434"/>
    <cellStyle name="Normal 97 27" xfId="5216"/>
    <cellStyle name="Normal 97 27 2" xfId="9521"/>
    <cellStyle name="Normal 97 28" xfId="5315"/>
    <cellStyle name="Normal 97 28 2" xfId="9614"/>
    <cellStyle name="Normal 97 29" xfId="5418"/>
    <cellStyle name="Normal 97 29 2" xfId="9705"/>
    <cellStyle name="Normal 97 3" xfId="1647"/>
    <cellStyle name="Normal 97 3 2" xfId="2942"/>
    <cellStyle name="Normal 97 3 2 2" xfId="7383"/>
    <cellStyle name="Normal 97 3 3" xfId="6531"/>
    <cellStyle name="Normal 97 30" xfId="5941"/>
    <cellStyle name="Normal 97 30 2" xfId="10131"/>
    <cellStyle name="Normal 97 31" xfId="6032"/>
    <cellStyle name="Normal 97 31 2" xfId="10218"/>
    <cellStyle name="Normal 97 32" xfId="6129"/>
    <cellStyle name="Normal 97 32 2" xfId="10307"/>
    <cellStyle name="Normal 97 33" xfId="6221"/>
    <cellStyle name="Normal 97 33 2" xfId="10395"/>
    <cellStyle name="Normal 97 34" xfId="1443"/>
    <cellStyle name="Normal 97 35" xfId="6350"/>
    <cellStyle name="Normal 97 4" xfId="1757"/>
    <cellStyle name="Normal 97 4 2" xfId="3032"/>
    <cellStyle name="Normal 97 4 2 2" xfId="7471"/>
    <cellStyle name="Normal 97 4 3" xfId="6620"/>
    <cellStyle name="Normal 97 5" xfId="1903"/>
    <cellStyle name="Normal 97 5 2" xfId="3127"/>
    <cellStyle name="Normal 97 5 2 2" xfId="7565"/>
    <cellStyle name="Normal 97 5 3" xfId="6712"/>
    <cellStyle name="Normal 97 6" xfId="2242"/>
    <cellStyle name="Normal 97 7" xfId="2403"/>
    <cellStyle name="Normal 97 7 2" xfId="3341"/>
    <cellStyle name="Normal 97 7 2 2" xfId="7763"/>
    <cellStyle name="Normal 97 7 3" xfId="6898"/>
    <cellStyle name="Normal 97 8" xfId="2493"/>
    <cellStyle name="Normal 97 8 2" xfId="3430"/>
    <cellStyle name="Normal 97 8 2 2" xfId="7852"/>
    <cellStyle name="Normal 97 8 3" xfId="6986"/>
    <cellStyle name="Normal 97 9" xfId="2594"/>
    <cellStyle name="Normal 97 9 2" xfId="3520"/>
    <cellStyle name="Normal 97 9 2 2" xfId="7942"/>
    <cellStyle name="Normal 97 9 3" xfId="7073"/>
    <cellStyle name="Normal 98" xfId="783"/>
    <cellStyle name="Normal 98 10" xfId="2761"/>
    <cellStyle name="Normal 98 10 2" xfId="7202"/>
    <cellStyle name="Normal 98 11" xfId="3693"/>
    <cellStyle name="Normal 98 11 2" xfId="8096"/>
    <cellStyle name="Normal 98 12" xfId="3791"/>
    <cellStyle name="Normal 98 12 2" xfId="8186"/>
    <cellStyle name="Normal 98 13" xfId="3893"/>
    <cellStyle name="Normal 98 13 2" xfId="8282"/>
    <cellStyle name="Normal 98 14" xfId="3988"/>
    <cellStyle name="Normal 98 14 2" xfId="8370"/>
    <cellStyle name="Normal 98 15" xfId="4081"/>
    <cellStyle name="Normal 98 15 2" xfId="8459"/>
    <cellStyle name="Normal 98 16" xfId="4176"/>
    <cellStyle name="Normal 98 16 2" xfId="8546"/>
    <cellStyle name="Normal 98 17" xfId="4279"/>
    <cellStyle name="Normal 98 17 2" xfId="8640"/>
    <cellStyle name="Normal 98 18" xfId="4373"/>
    <cellStyle name="Normal 98 18 2" xfId="8729"/>
    <cellStyle name="Normal 98 19" xfId="4465"/>
    <cellStyle name="Normal 98 19 2" xfId="8816"/>
    <cellStyle name="Normal 98 2" xfId="1544"/>
    <cellStyle name="Normal 98 2 2" xfId="2853"/>
    <cellStyle name="Normal 98 2 2 2" xfId="7294"/>
    <cellStyle name="Normal 98 2 3" xfId="6442"/>
    <cellStyle name="Normal 98 20" xfId="4557"/>
    <cellStyle name="Normal 98 20 2" xfId="8904"/>
    <cellStyle name="Normal 98 21" xfId="4653"/>
    <cellStyle name="Normal 98 21 2" xfId="8993"/>
    <cellStyle name="Normal 98 22" xfId="4747"/>
    <cellStyle name="Normal 98 22 2" xfId="9081"/>
    <cellStyle name="Normal 98 23" xfId="4841"/>
    <cellStyle name="Normal 98 23 2" xfId="9170"/>
    <cellStyle name="Normal 98 24" xfId="4935"/>
    <cellStyle name="Normal 98 24 2" xfId="9258"/>
    <cellStyle name="Normal 98 25" xfId="5027"/>
    <cellStyle name="Normal 98 25 2" xfId="9347"/>
    <cellStyle name="Normal 98 26" xfId="5121"/>
    <cellStyle name="Normal 98 26 2" xfId="9435"/>
    <cellStyle name="Normal 98 27" xfId="5217"/>
    <cellStyle name="Normal 98 27 2" xfId="9522"/>
    <cellStyle name="Normal 98 28" xfId="5316"/>
    <cellStyle name="Normal 98 28 2" xfId="9615"/>
    <cellStyle name="Normal 98 29" xfId="5419"/>
    <cellStyle name="Normal 98 29 2" xfId="9706"/>
    <cellStyle name="Normal 98 3" xfId="1648"/>
    <cellStyle name="Normal 98 3 2" xfId="2943"/>
    <cellStyle name="Normal 98 3 2 2" xfId="7384"/>
    <cellStyle name="Normal 98 3 3" xfId="6532"/>
    <cellStyle name="Normal 98 30" xfId="5942"/>
    <cellStyle name="Normal 98 30 2" xfId="10132"/>
    <cellStyle name="Normal 98 31" xfId="6033"/>
    <cellStyle name="Normal 98 31 2" xfId="10219"/>
    <cellStyle name="Normal 98 32" xfId="6130"/>
    <cellStyle name="Normal 98 32 2" xfId="10308"/>
    <cellStyle name="Normal 98 33" xfId="6222"/>
    <cellStyle name="Normal 98 33 2" xfId="10396"/>
    <cellStyle name="Normal 98 34" xfId="1444"/>
    <cellStyle name="Normal 98 35" xfId="6351"/>
    <cellStyle name="Normal 98 4" xfId="1758"/>
    <cellStyle name="Normal 98 4 2" xfId="3033"/>
    <cellStyle name="Normal 98 4 2 2" xfId="7472"/>
    <cellStyle name="Normal 98 4 3" xfId="6621"/>
    <cellStyle name="Normal 98 5" xfId="1904"/>
    <cellStyle name="Normal 98 5 2" xfId="3128"/>
    <cellStyle name="Normal 98 5 2 2" xfId="7566"/>
    <cellStyle name="Normal 98 5 3" xfId="6713"/>
    <cellStyle name="Normal 98 6" xfId="2243"/>
    <cellStyle name="Normal 98 7" xfId="2404"/>
    <cellStyle name="Normal 98 7 2" xfId="3342"/>
    <cellStyle name="Normal 98 7 2 2" xfId="7764"/>
    <cellStyle name="Normal 98 7 3" xfId="6899"/>
    <cellStyle name="Normal 98 8" xfId="2494"/>
    <cellStyle name="Normal 98 8 2" xfId="3431"/>
    <cellStyle name="Normal 98 8 2 2" xfId="7853"/>
    <cellStyle name="Normal 98 8 3" xfId="6987"/>
    <cellStyle name="Normal 98 9" xfId="2595"/>
    <cellStyle name="Normal 98 9 2" xfId="3521"/>
    <cellStyle name="Normal 98 9 2 2" xfId="7943"/>
    <cellStyle name="Normal 98 9 3" xfId="7074"/>
    <cellStyle name="Normal 99" xfId="784"/>
    <cellStyle name="Normal 99 10" xfId="2762"/>
    <cellStyle name="Normal 99 10 2" xfId="7203"/>
    <cellStyle name="Normal 99 11" xfId="3694"/>
    <cellStyle name="Normal 99 11 2" xfId="8097"/>
    <cellStyle name="Normal 99 12" xfId="3792"/>
    <cellStyle name="Normal 99 12 2" xfId="8187"/>
    <cellStyle name="Normal 99 13" xfId="3894"/>
    <cellStyle name="Normal 99 13 2" xfId="8283"/>
    <cellStyle name="Normal 99 14" xfId="3989"/>
    <cellStyle name="Normal 99 14 2" xfId="8371"/>
    <cellStyle name="Normal 99 15" xfId="4082"/>
    <cellStyle name="Normal 99 15 2" xfId="8460"/>
    <cellStyle name="Normal 99 16" xfId="4177"/>
    <cellStyle name="Normal 99 16 2" xfId="8547"/>
    <cellStyle name="Normal 99 17" xfId="4280"/>
    <cellStyle name="Normal 99 17 2" xfId="8641"/>
    <cellStyle name="Normal 99 18" xfId="4374"/>
    <cellStyle name="Normal 99 18 2" xfId="8730"/>
    <cellStyle name="Normal 99 19" xfId="4466"/>
    <cellStyle name="Normal 99 19 2" xfId="8817"/>
    <cellStyle name="Normal 99 2" xfId="1545"/>
    <cellStyle name="Normal 99 2 2" xfId="2854"/>
    <cellStyle name="Normal 99 2 2 2" xfId="7295"/>
    <cellStyle name="Normal 99 2 3" xfId="6443"/>
    <cellStyle name="Normal 99 20" xfId="4558"/>
    <cellStyle name="Normal 99 20 2" xfId="8905"/>
    <cellStyle name="Normal 99 21" xfId="4654"/>
    <cellStyle name="Normal 99 21 2" xfId="8994"/>
    <cellStyle name="Normal 99 22" xfId="4748"/>
    <cellStyle name="Normal 99 22 2" xfId="9082"/>
    <cellStyle name="Normal 99 23" xfId="4842"/>
    <cellStyle name="Normal 99 23 2" xfId="9171"/>
    <cellStyle name="Normal 99 24" xfId="4936"/>
    <cellStyle name="Normal 99 24 2" xfId="9259"/>
    <cellStyle name="Normal 99 25" xfId="5028"/>
    <cellStyle name="Normal 99 25 2" xfId="9348"/>
    <cellStyle name="Normal 99 26" xfId="5122"/>
    <cellStyle name="Normal 99 26 2" xfId="9436"/>
    <cellStyle name="Normal 99 27" xfId="5218"/>
    <cellStyle name="Normal 99 27 2" xfId="9523"/>
    <cellStyle name="Normal 99 28" xfId="5317"/>
    <cellStyle name="Normal 99 28 2" xfId="9616"/>
    <cellStyle name="Normal 99 29" xfId="5420"/>
    <cellStyle name="Normal 99 29 2" xfId="9707"/>
    <cellStyle name="Normal 99 3" xfId="1649"/>
    <cellStyle name="Normal 99 3 2" xfId="2944"/>
    <cellStyle name="Normal 99 3 2 2" xfId="7385"/>
    <cellStyle name="Normal 99 3 3" xfId="6533"/>
    <cellStyle name="Normal 99 30" xfId="5943"/>
    <cellStyle name="Normal 99 30 2" xfId="10133"/>
    <cellStyle name="Normal 99 31" xfId="6034"/>
    <cellStyle name="Normal 99 31 2" xfId="10220"/>
    <cellStyle name="Normal 99 32" xfId="6131"/>
    <cellStyle name="Normal 99 32 2" xfId="10309"/>
    <cellStyle name="Normal 99 33" xfId="6223"/>
    <cellStyle name="Normal 99 33 2" xfId="10397"/>
    <cellStyle name="Normal 99 34" xfId="1445"/>
    <cellStyle name="Normal 99 35" xfId="6352"/>
    <cellStyle name="Normal 99 4" xfId="1759"/>
    <cellStyle name="Normal 99 4 2" xfId="3034"/>
    <cellStyle name="Normal 99 4 2 2" xfId="7473"/>
    <cellStyle name="Normal 99 4 3" xfId="6622"/>
    <cellStyle name="Normal 99 5" xfId="1905"/>
    <cellStyle name="Normal 99 5 2" xfId="3129"/>
    <cellStyle name="Normal 99 5 2 2" xfId="7567"/>
    <cellStyle name="Normal 99 5 3" xfId="6714"/>
    <cellStyle name="Normal 99 6" xfId="2244"/>
    <cellStyle name="Normal 99 7" xfId="2405"/>
    <cellStyle name="Normal 99 7 2" xfId="3343"/>
    <cellStyle name="Normal 99 7 2 2" xfId="7765"/>
    <cellStyle name="Normal 99 7 3" xfId="6900"/>
    <cellStyle name="Normal 99 8" xfId="2495"/>
    <cellStyle name="Normal 99 8 2" xfId="3432"/>
    <cellStyle name="Normal 99 8 2 2" xfId="7854"/>
    <cellStyle name="Normal 99 8 3" xfId="6988"/>
    <cellStyle name="Normal 99 9" xfId="2596"/>
    <cellStyle name="Normal 99 9 2" xfId="3522"/>
    <cellStyle name="Normal 99 9 2 2" xfId="7944"/>
    <cellStyle name="Normal 99 9 3" xfId="7075"/>
    <cellStyle name="Normal Table" xfId="785"/>
    <cellStyle name="Normal Table 2" xfId="2245"/>
    <cellStyle name="Normal_ARMFISnew2" xfId="786"/>
    <cellStyle name="Normal_BMWEEK_IMF_2004_19" xfId="787"/>
    <cellStyle name="Normal_BOP-2007-1" xfId="6227"/>
    <cellStyle name="Normal_IMF_Jan_23_09 2" xfId="788"/>
    <cellStyle name="Note 10" xfId="5648"/>
    <cellStyle name="Note 10 2" xfId="9843"/>
    <cellStyle name="Note 10 3" xfId="10756"/>
    <cellStyle name="Note 11" xfId="5649"/>
    <cellStyle name="Note 11 2" xfId="9844"/>
    <cellStyle name="Note 11 3" xfId="10757"/>
    <cellStyle name="Note 12" xfId="5650"/>
    <cellStyle name="Note 12 2" xfId="9845"/>
    <cellStyle name="Note 12 3" xfId="10758"/>
    <cellStyle name="Note 13" xfId="5651"/>
    <cellStyle name="Note 13 2" xfId="9846"/>
    <cellStyle name="Note 13 3" xfId="10759"/>
    <cellStyle name="Note 14" xfId="6240"/>
    <cellStyle name="Note 15" xfId="11014"/>
    <cellStyle name="Note 2" xfId="789"/>
    <cellStyle name="Note 2 2" xfId="790"/>
    <cellStyle name="Note 2 2 10" xfId="5652"/>
    <cellStyle name="Note 2 2 10 2" xfId="9847"/>
    <cellStyle name="Note 2 2 10 3" xfId="10760"/>
    <cellStyle name="Note 2 2 11" xfId="5653"/>
    <cellStyle name="Note 2 2 11 2" xfId="9848"/>
    <cellStyle name="Note 2 2 11 3" xfId="10761"/>
    <cellStyle name="Note 2 2 12" xfId="1446"/>
    <cellStyle name="Note 2 2 13" xfId="7576"/>
    <cellStyle name="Note 2 2 2" xfId="791"/>
    <cellStyle name="Note 2 2 2 10" xfId="2248"/>
    <cellStyle name="Note 2 2 2 11" xfId="6781"/>
    <cellStyle name="Note 2 2 2 12" xfId="10402"/>
    <cellStyle name="Note 2 2 2 2" xfId="3223"/>
    <cellStyle name="Note 2 2 2 2 2" xfId="7646"/>
    <cellStyle name="Note 2 2 2 2 3" xfId="10514"/>
    <cellStyle name="Note 2 2 2 3" xfId="3563"/>
    <cellStyle name="Note 2 2 2 3 2" xfId="7982"/>
    <cellStyle name="Note 2 2 2 3 3" xfId="10586"/>
    <cellStyle name="Note 2 2 2 4" xfId="3253"/>
    <cellStyle name="Note 2 2 2 4 2" xfId="7675"/>
    <cellStyle name="Note 2 2 2 4 3" xfId="10541"/>
    <cellStyle name="Note 2 2 2 5" xfId="5654"/>
    <cellStyle name="Note 2 2 2 5 2" xfId="9849"/>
    <cellStyle name="Note 2 2 2 5 3" xfId="10762"/>
    <cellStyle name="Note 2 2 2 6" xfId="5655"/>
    <cellStyle name="Note 2 2 2 6 2" xfId="9850"/>
    <cellStyle name="Note 2 2 2 6 3" xfId="10763"/>
    <cellStyle name="Note 2 2 2 7" xfId="5656"/>
    <cellStyle name="Note 2 2 2 7 2" xfId="9851"/>
    <cellStyle name="Note 2 2 2 7 3" xfId="10764"/>
    <cellStyle name="Note 2 2 2 8" xfId="5657"/>
    <cellStyle name="Note 2 2 2 8 2" xfId="9852"/>
    <cellStyle name="Note 2 2 2 8 3" xfId="10765"/>
    <cellStyle name="Note 2 2 2 9" xfId="5658"/>
    <cellStyle name="Note 2 2 2 9 2" xfId="9853"/>
    <cellStyle name="Note 2 2 2 9 3" xfId="10766"/>
    <cellStyle name="Note 2 2 3" xfId="2247"/>
    <cellStyle name="Note 2 2 3 10" xfId="6780"/>
    <cellStyle name="Note 2 2 3 11" xfId="10401"/>
    <cellStyle name="Note 2 2 3 2" xfId="3222"/>
    <cellStyle name="Note 2 2 3 2 2" xfId="7645"/>
    <cellStyle name="Note 2 2 3 2 3" xfId="10513"/>
    <cellStyle name="Note 2 2 3 3" xfId="3562"/>
    <cellStyle name="Note 2 2 3 3 2" xfId="7981"/>
    <cellStyle name="Note 2 2 3 3 3" xfId="10585"/>
    <cellStyle name="Note 2 2 3 4" xfId="3433"/>
    <cellStyle name="Note 2 2 3 4 2" xfId="7855"/>
    <cellStyle name="Note 2 2 3 4 3" xfId="10546"/>
    <cellStyle name="Note 2 2 3 5" xfId="5659"/>
    <cellStyle name="Note 2 2 3 5 2" xfId="9854"/>
    <cellStyle name="Note 2 2 3 5 3" xfId="10767"/>
    <cellStyle name="Note 2 2 3 6" xfId="5660"/>
    <cellStyle name="Note 2 2 3 6 2" xfId="9855"/>
    <cellStyle name="Note 2 2 3 6 3" xfId="10768"/>
    <cellStyle name="Note 2 2 3 7" xfId="5661"/>
    <cellStyle name="Note 2 2 3 7 2" xfId="9856"/>
    <cellStyle name="Note 2 2 3 7 3" xfId="10769"/>
    <cellStyle name="Note 2 2 3 8" xfId="5662"/>
    <cellStyle name="Note 2 2 3 8 2" xfId="9857"/>
    <cellStyle name="Note 2 2 3 8 3" xfId="10770"/>
    <cellStyle name="Note 2 2 3 9" xfId="5663"/>
    <cellStyle name="Note 2 2 3 9 2" xfId="9858"/>
    <cellStyle name="Note 2 2 3 9 3" xfId="10771"/>
    <cellStyle name="Note 2 2 4" xfId="2763"/>
    <cellStyle name="Note 2 2 4 2" xfId="7204"/>
    <cellStyle name="Note 2 2 4 3" xfId="10452"/>
    <cellStyle name="Note 2 2 5" xfId="3191"/>
    <cellStyle name="Note 2 2 5 2" xfId="7617"/>
    <cellStyle name="Note 2 2 5 3" xfId="10507"/>
    <cellStyle name="Note 2 2 6" xfId="3558"/>
    <cellStyle name="Note 2 2 6 2" xfId="7978"/>
    <cellStyle name="Note 2 2 6 3" xfId="10582"/>
    <cellStyle name="Note 2 2 7" xfId="5664"/>
    <cellStyle name="Note 2 2 7 2" xfId="9859"/>
    <cellStyle name="Note 2 2 7 3" xfId="10772"/>
    <cellStyle name="Note 2 2 8" xfId="5665"/>
    <cellStyle name="Note 2 2 8 2" xfId="9860"/>
    <cellStyle name="Note 2 2 8 3" xfId="10773"/>
    <cellStyle name="Note 2 2 9" xfId="5666"/>
    <cellStyle name="Note 2 2 9 2" xfId="9861"/>
    <cellStyle name="Note 2 2 9 3" xfId="10774"/>
    <cellStyle name="Note 2 3" xfId="792"/>
    <cellStyle name="Note 2 3 10" xfId="5667"/>
    <cellStyle name="Note 2 3 10 2" xfId="9862"/>
    <cellStyle name="Note 2 3 10 3" xfId="10775"/>
    <cellStyle name="Note 2 3 11" xfId="5668"/>
    <cellStyle name="Note 2 3 11 2" xfId="9863"/>
    <cellStyle name="Note 2 3 11 3" xfId="10776"/>
    <cellStyle name="Note 2 3 12" xfId="1546"/>
    <cellStyle name="Note 2 3 13" xfId="6444"/>
    <cellStyle name="Note 2 3 14" xfId="6250"/>
    <cellStyle name="Note 2 3 2" xfId="793"/>
    <cellStyle name="Note 2 3 2 10" xfId="2250"/>
    <cellStyle name="Note 2 3 2 11" xfId="6782"/>
    <cellStyle name="Note 2 3 2 12" xfId="10403"/>
    <cellStyle name="Note 2 3 2 2" xfId="3225"/>
    <cellStyle name="Note 2 3 2 2 2" xfId="7648"/>
    <cellStyle name="Note 2 3 2 2 3" xfId="10516"/>
    <cellStyle name="Note 2 3 2 3" xfId="3564"/>
    <cellStyle name="Note 2 3 2 3 2" xfId="7983"/>
    <cellStyle name="Note 2 3 2 3 3" xfId="10587"/>
    <cellStyle name="Note 2 3 2 4" xfId="3434"/>
    <cellStyle name="Note 2 3 2 4 2" xfId="7856"/>
    <cellStyle name="Note 2 3 2 4 3" xfId="10547"/>
    <cellStyle name="Note 2 3 2 5" xfId="5669"/>
    <cellStyle name="Note 2 3 2 5 2" xfId="9864"/>
    <cellStyle name="Note 2 3 2 5 3" xfId="10777"/>
    <cellStyle name="Note 2 3 2 6" xfId="5670"/>
    <cellStyle name="Note 2 3 2 6 2" xfId="9865"/>
    <cellStyle name="Note 2 3 2 6 3" xfId="10778"/>
    <cellStyle name="Note 2 3 2 7" xfId="5671"/>
    <cellStyle name="Note 2 3 2 7 2" xfId="9866"/>
    <cellStyle name="Note 2 3 2 7 3" xfId="10779"/>
    <cellStyle name="Note 2 3 2 8" xfId="5672"/>
    <cellStyle name="Note 2 3 2 8 2" xfId="9867"/>
    <cellStyle name="Note 2 3 2 8 3" xfId="10780"/>
    <cellStyle name="Note 2 3 2 9" xfId="5673"/>
    <cellStyle name="Note 2 3 2 9 2" xfId="9868"/>
    <cellStyle name="Note 2 3 2 9 3" xfId="10781"/>
    <cellStyle name="Note 2 3 3" xfId="2249"/>
    <cellStyle name="Note 2 3 4" xfId="2855"/>
    <cellStyle name="Note 2 3 4 2" xfId="7296"/>
    <cellStyle name="Note 2 3 4 3" xfId="10456"/>
    <cellStyle name="Note 2 3 5" xfId="3172"/>
    <cellStyle name="Note 2 3 5 2" xfId="7601"/>
    <cellStyle name="Note 2 3 5 3" xfId="10491"/>
    <cellStyle name="Note 2 3 6" xfId="3152"/>
    <cellStyle name="Note 2 3 6 2" xfId="7585"/>
    <cellStyle name="Note 2 3 6 3" xfId="10479"/>
    <cellStyle name="Note 2 3 7" xfId="5674"/>
    <cellStyle name="Note 2 3 7 2" xfId="9869"/>
    <cellStyle name="Note 2 3 7 3" xfId="10782"/>
    <cellStyle name="Note 2 3 8" xfId="5675"/>
    <cellStyle name="Note 2 3 8 2" xfId="9870"/>
    <cellStyle name="Note 2 3 8 3" xfId="10783"/>
    <cellStyle name="Note 2 3 9" xfId="5676"/>
    <cellStyle name="Note 2 3 9 2" xfId="9871"/>
    <cellStyle name="Note 2 3 9 3" xfId="10784"/>
    <cellStyle name="Note 2 4" xfId="794"/>
    <cellStyle name="Note 2 4 10" xfId="2251"/>
    <cellStyle name="Note 2 4 11" xfId="6783"/>
    <cellStyle name="Note 2 4 12" xfId="10404"/>
    <cellStyle name="Note 2 4 2" xfId="3226"/>
    <cellStyle name="Note 2 4 2 2" xfId="7649"/>
    <cellStyle name="Note 2 4 2 3" xfId="10517"/>
    <cellStyle name="Note 2 4 3" xfId="3565"/>
    <cellStyle name="Note 2 4 3 2" xfId="7984"/>
    <cellStyle name="Note 2 4 3 3" xfId="10588"/>
    <cellStyle name="Note 2 4 4" xfId="2637"/>
    <cellStyle name="Note 2 4 4 2" xfId="7083"/>
    <cellStyle name="Note 2 4 4 3" xfId="10435"/>
    <cellStyle name="Note 2 4 5" xfId="5677"/>
    <cellStyle name="Note 2 4 5 2" xfId="9872"/>
    <cellStyle name="Note 2 4 5 3" xfId="10785"/>
    <cellStyle name="Note 2 4 6" xfId="5678"/>
    <cellStyle name="Note 2 4 6 2" xfId="9873"/>
    <cellStyle name="Note 2 4 6 3" xfId="10786"/>
    <cellStyle name="Note 2 4 7" xfId="5679"/>
    <cellStyle name="Note 2 4 7 2" xfId="9874"/>
    <cellStyle name="Note 2 4 7 3" xfId="10787"/>
    <cellStyle name="Note 2 4 8" xfId="5680"/>
    <cellStyle name="Note 2 4 8 2" xfId="9875"/>
    <cellStyle name="Note 2 4 8 3" xfId="10788"/>
    <cellStyle name="Note 2 4 9" xfId="5681"/>
    <cellStyle name="Note 2 4 9 2" xfId="9876"/>
    <cellStyle name="Note 2 4 9 3" xfId="10789"/>
    <cellStyle name="Note 2 5" xfId="2246"/>
    <cellStyle name="Note 2 5 10" xfId="6779"/>
    <cellStyle name="Note 2 5 11" xfId="10400"/>
    <cellStyle name="Note 2 5 2" xfId="3221"/>
    <cellStyle name="Note 2 5 2 2" xfId="7644"/>
    <cellStyle name="Note 2 5 2 3" xfId="10512"/>
    <cellStyle name="Note 2 5 3" xfId="3561"/>
    <cellStyle name="Note 2 5 3 2" xfId="7980"/>
    <cellStyle name="Note 2 5 3 3" xfId="10584"/>
    <cellStyle name="Note 2 5 4" xfId="2659"/>
    <cellStyle name="Note 2 5 4 2" xfId="7104"/>
    <cellStyle name="Note 2 5 4 3" xfId="10440"/>
    <cellStyle name="Note 2 5 5" xfId="5682"/>
    <cellStyle name="Note 2 5 5 2" xfId="9877"/>
    <cellStyle name="Note 2 5 5 3" xfId="10790"/>
    <cellStyle name="Note 2 5 6" xfId="5683"/>
    <cellStyle name="Note 2 5 6 2" xfId="9878"/>
    <cellStyle name="Note 2 5 6 3" xfId="10791"/>
    <cellStyle name="Note 2 5 7" xfId="5684"/>
    <cellStyle name="Note 2 5 7 2" xfId="9879"/>
    <cellStyle name="Note 2 5 7 3" xfId="10792"/>
    <cellStyle name="Note 2 5 8" xfId="5685"/>
    <cellStyle name="Note 2 5 8 2" xfId="9880"/>
    <cellStyle name="Note 2 5 8 3" xfId="10793"/>
    <cellStyle name="Note 2 5 9" xfId="5686"/>
    <cellStyle name="Note 2 5 9 2" xfId="9881"/>
    <cellStyle name="Note 2 5 9 3" xfId="10794"/>
    <cellStyle name="Note 2 6" xfId="3793"/>
    <cellStyle name="Note 2 6 2" xfId="8188"/>
    <cellStyle name="Note 2 6 3" xfId="10616"/>
    <cellStyle name="Note 2 7" xfId="5318"/>
    <cellStyle name="Note 2 7 2" xfId="9617"/>
    <cellStyle name="Note 2 7 3" xfId="10621"/>
    <cellStyle name="Note 2 8" xfId="11006"/>
    <cellStyle name="Note 3" xfId="795"/>
    <cellStyle name="Note 3 10" xfId="5687"/>
    <cellStyle name="Note 3 10 2" xfId="9882"/>
    <cellStyle name="Note 3 10 3" xfId="10795"/>
    <cellStyle name="Note 3 11" xfId="5688"/>
    <cellStyle name="Note 3 11 2" xfId="9883"/>
    <cellStyle name="Note 3 11 3" xfId="10796"/>
    <cellStyle name="Note 3 12" xfId="1920"/>
    <cellStyle name="Note 3 13" xfId="6717"/>
    <cellStyle name="Note 3 14" xfId="9709"/>
    <cellStyle name="Note 3 2" xfId="796"/>
    <cellStyle name="Note 3 2 10" xfId="2253"/>
    <cellStyle name="Note 3 2 11" xfId="6785"/>
    <cellStyle name="Note 3 2 12" xfId="10406"/>
    <cellStyle name="Note 3 2 2" xfId="3228"/>
    <cellStyle name="Note 3 2 2 2" xfId="7651"/>
    <cellStyle name="Note 3 2 2 3" xfId="10519"/>
    <cellStyle name="Note 3 2 3" xfId="3567"/>
    <cellStyle name="Note 3 2 3 2" xfId="7986"/>
    <cellStyle name="Note 3 2 3 3" xfId="10590"/>
    <cellStyle name="Note 3 2 4" xfId="3435"/>
    <cellStyle name="Note 3 2 4 2" xfId="7857"/>
    <cellStyle name="Note 3 2 4 3" xfId="10548"/>
    <cellStyle name="Note 3 2 5" xfId="5689"/>
    <cellStyle name="Note 3 2 5 2" xfId="9884"/>
    <cellStyle name="Note 3 2 5 3" xfId="10797"/>
    <cellStyle name="Note 3 2 6" xfId="5690"/>
    <cellStyle name="Note 3 2 6 2" xfId="9885"/>
    <cellStyle name="Note 3 2 6 3" xfId="10798"/>
    <cellStyle name="Note 3 2 7" xfId="5691"/>
    <cellStyle name="Note 3 2 7 2" xfId="9886"/>
    <cellStyle name="Note 3 2 7 3" xfId="10799"/>
    <cellStyle name="Note 3 2 8" xfId="5692"/>
    <cellStyle name="Note 3 2 8 2" xfId="9887"/>
    <cellStyle name="Note 3 2 8 3" xfId="10800"/>
    <cellStyle name="Note 3 2 9" xfId="5693"/>
    <cellStyle name="Note 3 2 9 2" xfId="9888"/>
    <cellStyle name="Note 3 2 9 3" xfId="10801"/>
    <cellStyle name="Note 3 3" xfId="2252"/>
    <cellStyle name="Note 3 3 10" xfId="6784"/>
    <cellStyle name="Note 3 3 11" xfId="10405"/>
    <cellStyle name="Note 3 3 2" xfId="3227"/>
    <cellStyle name="Note 3 3 2 2" xfId="7650"/>
    <cellStyle name="Note 3 3 2 3" xfId="10518"/>
    <cellStyle name="Note 3 3 3" xfId="3566"/>
    <cellStyle name="Note 3 3 3 2" xfId="7985"/>
    <cellStyle name="Note 3 3 3 3" xfId="10589"/>
    <cellStyle name="Note 3 3 4" xfId="3131"/>
    <cellStyle name="Note 3 3 4 2" xfId="7568"/>
    <cellStyle name="Note 3 3 4 3" xfId="10464"/>
    <cellStyle name="Note 3 3 5" xfId="5694"/>
    <cellStyle name="Note 3 3 5 2" xfId="9889"/>
    <cellStyle name="Note 3 3 5 3" xfId="10802"/>
    <cellStyle name="Note 3 3 6" xfId="5695"/>
    <cellStyle name="Note 3 3 6 2" xfId="9890"/>
    <cellStyle name="Note 3 3 6 3" xfId="10803"/>
    <cellStyle name="Note 3 3 7" xfId="5696"/>
    <cellStyle name="Note 3 3 7 2" xfId="9891"/>
    <cellStyle name="Note 3 3 7 3" xfId="10804"/>
    <cellStyle name="Note 3 3 8" xfId="5697"/>
    <cellStyle name="Note 3 3 8 2" xfId="9892"/>
    <cellStyle name="Note 3 3 8 3" xfId="10805"/>
    <cellStyle name="Note 3 3 9" xfId="5698"/>
    <cellStyle name="Note 3 3 9 2" xfId="9893"/>
    <cellStyle name="Note 3 3 9 3" xfId="10806"/>
    <cellStyle name="Note 3 4" xfId="3136"/>
    <cellStyle name="Note 3 4 2" xfId="7573"/>
    <cellStyle name="Note 3 4 3" xfId="10469"/>
    <cellStyle name="Note 3 5" xfId="2630"/>
    <cellStyle name="Note 3 5 2" xfId="7078"/>
    <cellStyle name="Note 3 5 3" xfId="10430"/>
    <cellStyle name="Note 3 6" xfId="3555"/>
    <cellStyle name="Note 3 6 2" xfId="7975"/>
    <cellStyle name="Note 3 6 3" xfId="10579"/>
    <cellStyle name="Note 3 7" xfId="5699"/>
    <cellStyle name="Note 3 7 2" xfId="9894"/>
    <cellStyle name="Note 3 7 3" xfId="10807"/>
    <cellStyle name="Note 3 8" xfId="5700"/>
    <cellStyle name="Note 3 8 2" xfId="9895"/>
    <cellStyle name="Note 3 8 3" xfId="10808"/>
    <cellStyle name="Note 3 9" xfId="5701"/>
    <cellStyle name="Note 3 9 2" xfId="9896"/>
    <cellStyle name="Note 3 9 3" xfId="10809"/>
    <cellStyle name="Note 4" xfId="797"/>
    <cellStyle name="Note 4 10" xfId="2254"/>
    <cellStyle name="Note 4 11" xfId="6786"/>
    <cellStyle name="Note 4 12" xfId="10407"/>
    <cellStyle name="Note 4 2" xfId="3229"/>
    <cellStyle name="Note 4 2 2" xfId="7652"/>
    <cellStyle name="Note 4 2 3" xfId="10520"/>
    <cellStyle name="Note 4 3" xfId="3568"/>
    <cellStyle name="Note 4 3 2" xfId="7987"/>
    <cellStyle name="Note 4 3 3" xfId="10591"/>
    <cellStyle name="Note 4 4" xfId="2639"/>
    <cellStyle name="Note 4 4 2" xfId="7085"/>
    <cellStyle name="Note 4 4 3" xfId="10437"/>
    <cellStyle name="Note 4 5" xfId="5702"/>
    <cellStyle name="Note 4 5 2" xfId="9897"/>
    <cellStyle name="Note 4 5 3" xfId="10810"/>
    <cellStyle name="Note 4 6" xfId="5703"/>
    <cellStyle name="Note 4 6 2" xfId="9898"/>
    <cellStyle name="Note 4 6 3" xfId="10811"/>
    <cellStyle name="Note 4 7" xfId="5704"/>
    <cellStyle name="Note 4 7 2" xfId="9899"/>
    <cellStyle name="Note 4 7 3" xfId="10812"/>
    <cellStyle name="Note 4 8" xfId="5705"/>
    <cellStyle name="Note 4 8 2" xfId="9900"/>
    <cellStyle name="Note 4 8 3" xfId="10813"/>
    <cellStyle name="Note 4 9" xfId="5706"/>
    <cellStyle name="Note 4 9 2" xfId="9901"/>
    <cellStyle name="Note 4 9 3" xfId="10814"/>
    <cellStyle name="Note 5" xfId="798"/>
    <cellStyle name="Note 5 10" xfId="2255"/>
    <cellStyle name="Note 5 11" xfId="6787"/>
    <cellStyle name="Note 5 12" xfId="10408"/>
    <cellStyle name="Note 5 2" xfId="3230"/>
    <cellStyle name="Note 5 2 2" xfId="7653"/>
    <cellStyle name="Note 5 2 3" xfId="10521"/>
    <cellStyle name="Note 5 3" xfId="3569"/>
    <cellStyle name="Note 5 3 2" xfId="7988"/>
    <cellStyle name="Note 5 3 3" xfId="10592"/>
    <cellStyle name="Note 5 4" xfId="3256"/>
    <cellStyle name="Note 5 4 2" xfId="7678"/>
    <cellStyle name="Note 5 4 3" xfId="10544"/>
    <cellStyle name="Note 5 5" xfId="5707"/>
    <cellStyle name="Note 5 5 2" xfId="9902"/>
    <cellStyle name="Note 5 5 3" xfId="10815"/>
    <cellStyle name="Note 5 6" xfId="5708"/>
    <cellStyle name="Note 5 6 2" xfId="9903"/>
    <cellStyle name="Note 5 6 3" xfId="10816"/>
    <cellStyle name="Note 5 7" xfId="5709"/>
    <cellStyle name="Note 5 7 2" xfId="9904"/>
    <cellStyle name="Note 5 7 3" xfId="10817"/>
    <cellStyle name="Note 5 8" xfId="5710"/>
    <cellStyle name="Note 5 8 2" xfId="9905"/>
    <cellStyle name="Note 5 8 3" xfId="10818"/>
    <cellStyle name="Note 5 9" xfId="5711"/>
    <cellStyle name="Note 5 9 2" xfId="9906"/>
    <cellStyle name="Note 5 9 3" xfId="10819"/>
    <cellStyle name="Note 6" xfId="799"/>
    <cellStyle name="Note 6 10" xfId="2256"/>
    <cellStyle name="Note 6 11" xfId="6788"/>
    <cellStyle name="Note 6 12" xfId="10409"/>
    <cellStyle name="Note 6 2" xfId="3231"/>
    <cellStyle name="Note 6 2 2" xfId="7654"/>
    <cellStyle name="Note 6 2 3" xfId="10522"/>
    <cellStyle name="Note 6 3" xfId="3570"/>
    <cellStyle name="Note 6 3 2" xfId="7989"/>
    <cellStyle name="Note 6 3 3" xfId="10593"/>
    <cellStyle name="Note 6 4" xfId="2664"/>
    <cellStyle name="Note 6 4 2" xfId="7107"/>
    <cellStyle name="Note 6 4 3" xfId="10442"/>
    <cellStyle name="Note 6 5" xfId="5712"/>
    <cellStyle name="Note 6 5 2" xfId="9907"/>
    <cellStyle name="Note 6 5 3" xfId="10820"/>
    <cellStyle name="Note 6 6" xfId="5713"/>
    <cellStyle name="Note 6 6 2" xfId="9908"/>
    <cellStyle name="Note 6 6 3" xfId="10821"/>
    <cellStyle name="Note 6 7" xfId="5714"/>
    <cellStyle name="Note 6 7 2" xfId="9909"/>
    <cellStyle name="Note 6 7 3" xfId="10822"/>
    <cellStyle name="Note 6 8" xfId="5715"/>
    <cellStyle name="Note 6 8 2" xfId="9910"/>
    <cellStyle name="Note 6 8 3" xfId="10823"/>
    <cellStyle name="Note 6 9" xfId="5716"/>
    <cellStyle name="Note 6 9 2" xfId="9911"/>
    <cellStyle name="Note 6 9 3" xfId="10824"/>
    <cellStyle name="Note 7" xfId="2635"/>
    <cellStyle name="Note 7 2" xfId="7081"/>
    <cellStyle name="Note 7 3" xfId="10433"/>
    <cellStyle name="Note 8" xfId="5717"/>
    <cellStyle name="Note 8 2" xfId="9912"/>
    <cellStyle name="Note 8 3" xfId="10825"/>
    <cellStyle name="Note 9" xfId="5718"/>
    <cellStyle name="Note 9 2" xfId="9913"/>
    <cellStyle name="Note 9 3" xfId="10826"/>
    <cellStyle name="Output" xfId="10970" builtinId="21" customBuiltin="1"/>
    <cellStyle name="Output 10" xfId="5719"/>
    <cellStyle name="Output 10 2" xfId="9914"/>
    <cellStyle name="Output 10 3" xfId="10827"/>
    <cellStyle name="Output 11" xfId="5720"/>
    <cellStyle name="Output 11 2" xfId="9915"/>
    <cellStyle name="Output 11 3" xfId="10828"/>
    <cellStyle name="Output 12" xfId="5721"/>
    <cellStyle name="Output 12 2" xfId="9916"/>
    <cellStyle name="Output 12 3" xfId="10829"/>
    <cellStyle name="Output 13" xfId="5722"/>
    <cellStyle name="Output 13 2" xfId="9917"/>
    <cellStyle name="Output 13 3" xfId="10830"/>
    <cellStyle name="Output 14" xfId="9980"/>
    <cellStyle name="Output 15" xfId="11013"/>
    <cellStyle name="Output 2" xfId="800"/>
    <cellStyle name="Output 2 2" xfId="801"/>
    <cellStyle name="Output 2 2 10" xfId="5723"/>
    <cellStyle name="Output 2 2 10 2" xfId="9918"/>
    <cellStyle name="Output 2 2 10 3" xfId="10831"/>
    <cellStyle name="Output 2 2 11" xfId="5724"/>
    <cellStyle name="Output 2 2 11 2" xfId="9919"/>
    <cellStyle name="Output 2 2 11 3" xfId="10832"/>
    <cellStyle name="Output 2 2 12" xfId="1447"/>
    <cellStyle name="Output 2 2 13" xfId="6720"/>
    <cellStyle name="Output 2 2 2" xfId="802"/>
    <cellStyle name="Output 2 2 2 10" xfId="2258"/>
    <cellStyle name="Output 2 2 2 11" xfId="6790"/>
    <cellStyle name="Output 2 2 2 12" xfId="10411"/>
    <cellStyle name="Output 2 2 2 2" xfId="3233"/>
    <cellStyle name="Output 2 2 2 2 2" xfId="7656"/>
    <cellStyle name="Output 2 2 2 2 3" xfId="10524"/>
    <cellStyle name="Output 2 2 2 3" xfId="3572"/>
    <cellStyle name="Output 2 2 2 3 2" xfId="7991"/>
    <cellStyle name="Output 2 2 2 3 3" xfId="10595"/>
    <cellStyle name="Output 2 2 2 4" xfId="3144"/>
    <cellStyle name="Output 2 2 2 4 2" xfId="7579"/>
    <cellStyle name="Output 2 2 2 4 3" xfId="10473"/>
    <cellStyle name="Output 2 2 2 5" xfId="5725"/>
    <cellStyle name="Output 2 2 2 5 2" xfId="9920"/>
    <cellStyle name="Output 2 2 2 5 3" xfId="10833"/>
    <cellStyle name="Output 2 2 2 6" xfId="5726"/>
    <cellStyle name="Output 2 2 2 6 2" xfId="9921"/>
    <cellStyle name="Output 2 2 2 6 3" xfId="10834"/>
    <cellStyle name="Output 2 2 2 7" xfId="5727"/>
    <cellStyle name="Output 2 2 2 7 2" xfId="9922"/>
    <cellStyle name="Output 2 2 2 7 3" xfId="10835"/>
    <cellStyle name="Output 2 2 2 8" xfId="5728"/>
    <cellStyle name="Output 2 2 2 8 2" xfId="9923"/>
    <cellStyle name="Output 2 2 2 8 3" xfId="10836"/>
    <cellStyle name="Output 2 2 2 9" xfId="5729"/>
    <cellStyle name="Output 2 2 2 9 2" xfId="9924"/>
    <cellStyle name="Output 2 2 2 9 3" xfId="10837"/>
    <cellStyle name="Output 2 2 3" xfId="2257"/>
    <cellStyle name="Output 2 2 3 10" xfId="6789"/>
    <cellStyle name="Output 2 2 3 11" xfId="10410"/>
    <cellStyle name="Output 2 2 3 2" xfId="3232"/>
    <cellStyle name="Output 2 2 3 2 2" xfId="7655"/>
    <cellStyle name="Output 2 2 3 2 3" xfId="10523"/>
    <cellStyle name="Output 2 2 3 3" xfId="3571"/>
    <cellStyle name="Output 2 2 3 3 2" xfId="7990"/>
    <cellStyle name="Output 2 2 3 3 3" xfId="10594"/>
    <cellStyle name="Output 2 2 3 4" xfId="3040"/>
    <cellStyle name="Output 2 2 3 4 2" xfId="7478"/>
    <cellStyle name="Output 2 2 3 4 3" xfId="10460"/>
    <cellStyle name="Output 2 2 3 5" xfId="5730"/>
    <cellStyle name="Output 2 2 3 5 2" xfId="9925"/>
    <cellStyle name="Output 2 2 3 5 3" xfId="10838"/>
    <cellStyle name="Output 2 2 3 6" xfId="5731"/>
    <cellStyle name="Output 2 2 3 6 2" xfId="9926"/>
    <cellStyle name="Output 2 2 3 6 3" xfId="10839"/>
    <cellStyle name="Output 2 2 3 7" xfId="5732"/>
    <cellStyle name="Output 2 2 3 7 2" xfId="9927"/>
    <cellStyle name="Output 2 2 3 7 3" xfId="10840"/>
    <cellStyle name="Output 2 2 3 8" xfId="5733"/>
    <cellStyle name="Output 2 2 3 8 2" xfId="9928"/>
    <cellStyle name="Output 2 2 3 8 3" xfId="10841"/>
    <cellStyle name="Output 2 2 3 9" xfId="5734"/>
    <cellStyle name="Output 2 2 3 9 2" xfId="9929"/>
    <cellStyle name="Output 2 2 3 9 3" xfId="10842"/>
    <cellStyle name="Output 2 2 4" xfId="2764"/>
    <cellStyle name="Output 2 2 4 2" xfId="7205"/>
    <cellStyle name="Output 2 2 4 3" xfId="10453"/>
    <cellStyle name="Output 2 2 5" xfId="3190"/>
    <cellStyle name="Output 2 2 5 2" xfId="7616"/>
    <cellStyle name="Output 2 2 5 3" xfId="10506"/>
    <cellStyle name="Output 2 2 6" xfId="3150"/>
    <cellStyle name="Output 2 2 6 2" xfId="7584"/>
    <cellStyle name="Output 2 2 6 3" xfId="10478"/>
    <cellStyle name="Output 2 2 7" xfId="5735"/>
    <cellStyle name="Output 2 2 7 2" xfId="9930"/>
    <cellStyle name="Output 2 2 7 3" xfId="10843"/>
    <cellStyle name="Output 2 2 8" xfId="5736"/>
    <cellStyle name="Output 2 2 8 2" xfId="9931"/>
    <cellStyle name="Output 2 2 8 3" xfId="10844"/>
    <cellStyle name="Output 2 2 9" xfId="5737"/>
    <cellStyle name="Output 2 2 9 2" xfId="9932"/>
    <cellStyle name="Output 2 2 9 3" xfId="10845"/>
    <cellStyle name="Output 2 3" xfId="803"/>
    <cellStyle name="Output 2 3 10" xfId="5738"/>
    <cellStyle name="Output 2 3 10 2" xfId="9933"/>
    <cellStyle name="Output 2 3 10 3" xfId="10846"/>
    <cellStyle name="Output 2 3 11" xfId="5739"/>
    <cellStyle name="Output 2 3 11 2" xfId="9934"/>
    <cellStyle name="Output 2 3 11 3" xfId="10847"/>
    <cellStyle name="Output 2 3 12" xfId="1547"/>
    <cellStyle name="Output 2 3 13" xfId="6445"/>
    <cellStyle name="Output 2 3 14" xfId="6535"/>
    <cellStyle name="Output 2 3 2" xfId="804"/>
    <cellStyle name="Output 2 3 2 10" xfId="2260"/>
    <cellStyle name="Output 2 3 2 11" xfId="6791"/>
    <cellStyle name="Output 2 3 2 12" xfId="10412"/>
    <cellStyle name="Output 2 3 2 2" xfId="3234"/>
    <cellStyle name="Output 2 3 2 2 2" xfId="7657"/>
    <cellStyle name="Output 2 3 2 2 3" xfId="10525"/>
    <cellStyle name="Output 2 3 2 3" xfId="3573"/>
    <cellStyle name="Output 2 3 2 3 2" xfId="7992"/>
    <cellStyle name="Output 2 3 2 3 3" xfId="10596"/>
    <cellStyle name="Output 2 3 2 4" xfId="2628"/>
    <cellStyle name="Output 2 3 2 4 2" xfId="7076"/>
    <cellStyle name="Output 2 3 2 4 3" xfId="10428"/>
    <cellStyle name="Output 2 3 2 5" xfId="5740"/>
    <cellStyle name="Output 2 3 2 5 2" xfId="9935"/>
    <cellStyle name="Output 2 3 2 5 3" xfId="10848"/>
    <cellStyle name="Output 2 3 2 6" xfId="5741"/>
    <cellStyle name="Output 2 3 2 6 2" xfId="9936"/>
    <cellStyle name="Output 2 3 2 6 3" xfId="10849"/>
    <cellStyle name="Output 2 3 2 7" xfId="5742"/>
    <cellStyle name="Output 2 3 2 7 2" xfId="9937"/>
    <cellStyle name="Output 2 3 2 7 3" xfId="10850"/>
    <cellStyle name="Output 2 3 2 8" xfId="5743"/>
    <cellStyle name="Output 2 3 2 8 2" xfId="9938"/>
    <cellStyle name="Output 2 3 2 8 3" xfId="10851"/>
    <cellStyle name="Output 2 3 2 9" xfId="5744"/>
    <cellStyle name="Output 2 3 2 9 2" xfId="9939"/>
    <cellStyle name="Output 2 3 2 9 3" xfId="10852"/>
    <cellStyle name="Output 2 3 3" xfId="2259"/>
    <cellStyle name="Output 2 3 4" xfId="2856"/>
    <cellStyle name="Output 2 3 4 2" xfId="7297"/>
    <cellStyle name="Output 2 3 4 3" xfId="10457"/>
    <cellStyle name="Output 2 3 5" xfId="3173"/>
    <cellStyle name="Output 2 3 5 2" xfId="7602"/>
    <cellStyle name="Output 2 3 5 3" xfId="10492"/>
    <cellStyle name="Output 2 3 6" xfId="3169"/>
    <cellStyle name="Output 2 3 6 2" xfId="7600"/>
    <cellStyle name="Output 2 3 6 3" xfId="10490"/>
    <cellStyle name="Output 2 3 7" xfId="5745"/>
    <cellStyle name="Output 2 3 7 2" xfId="9940"/>
    <cellStyle name="Output 2 3 7 3" xfId="10853"/>
    <cellStyle name="Output 2 3 8" xfId="5746"/>
    <cellStyle name="Output 2 3 8 2" xfId="9941"/>
    <cellStyle name="Output 2 3 8 3" xfId="10854"/>
    <cellStyle name="Output 2 3 9" xfId="5747"/>
    <cellStyle name="Output 2 3 9 2" xfId="9942"/>
    <cellStyle name="Output 2 3 9 3" xfId="10855"/>
    <cellStyle name="Output 2 4" xfId="805"/>
    <cellStyle name="Output 2 4 10" xfId="2261"/>
    <cellStyle name="Output 2 4 11" xfId="6792"/>
    <cellStyle name="Output 2 4 12" xfId="10413"/>
    <cellStyle name="Output 2 4 2" xfId="3235"/>
    <cellStyle name="Output 2 4 2 2" xfId="7658"/>
    <cellStyle name="Output 2 4 2 3" xfId="10526"/>
    <cellStyle name="Output 2 4 3" xfId="3574"/>
    <cellStyle name="Output 2 4 3 2" xfId="7993"/>
    <cellStyle name="Output 2 4 3 3" xfId="10597"/>
    <cellStyle name="Output 2 4 4" xfId="2660"/>
    <cellStyle name="Output 2 4 4 2" xfId="7105"/>
    <cellStyle name="Output 2 4 4 3" xfId="10441"/>
    <cellStyle name="Output 2 4 5" xfId="5748"/>
    <cellStyle name="Output 2 4 5 2" xfId="9943"/>
    <cellStyle name="Output 2 4 5 3" xfId="10856"/>
    <cellStyle name="Output 2 4 6" xfId="5749"/>
    <cellStyle name="Output 2 4 6 2" xfId="9944"/>
    <cellStyle name="Output 2 4 6 3" xfId="10857"/>
    <cellStyle name="Output 2 4 7" xfId="5750"/>
    <cellStyle name="Output 2 4 7 2" xfId="9945"/>
    <cellStyle name="Output 2 4 7 3" xfId="10858"/>
    <cellStyle name="Output 2 4 8" xfId="5751"/>
    <cellStyle name="Output 2 4 8 2" xfId="9946"/>
    <cellStyle name="Output 2 4 8 3" xfId="10859"/>
    <cellStyle name="Output 2 4 9" xfId="5752"/>
    <cellStyle name="Output 2 4 9 2" xfId="9947"/>
    <cellStyle name="Output 2 4 9 3" xfId="10860"/>
    <cellStyle name="Output 2 5" xfId="3794"/>
    <cellStyle name="Output 2 5 2" xfId="8189"/>
    <cellStyle name="Output 2 5 3" xfId="10617"/>
    <cellStyle name="Output 2 6" xfId="5319"/>
    <cellStyle name="Output 2 6 2" xfId="9618"/>
    <cellStyle name="Output 2 6 3" xfId="10622"/>
    <cellStyle name="Output 2 7" xfId="6035"/>
    <cellStyle name="Output 2 7 2" xfId="10221"/>
    <cellStyle name="Output 2 7 3" xfId="10959"/>
    <cellStyle name="Output 3" xfId="806"/>
    <cellStyle name="Output 3 10" xfId="5753"/>
    <cellStyle name="Output 3 10 2" xfId="9948"/>
    <cellStyle name="Output 3 10 3" xfId="10861"/>
    <cellStyle name="Output 3 11" xfId="5754"/>
    <cellStyle name="Output 3 11 2" xfId="9949"/>
    <cellStyle name="Output 3 11 3" xfId="10862"/>
    <cellStyle name="Output 3 12" xfId="1919"/>
    <cellStyle name="Output 3 13" xfId="6716"/>
    <cellStyle name="Output 3 14" xfId="9710"/>
    <cellStyle name="Output 3 2" xfId="807"/>
    <cellStyle name="Output 3 2 10" xfId="2263"/>
    <cellStyle name="Output 3 2 11" xfId="6794"/>
    <cellStyle name="Output 3 2 12" xfId="10415"/>
    <cellStyle name="Output 3 2 2" xfId="3237"/>
    <cellStyle name="Output 3 2 2 2" xfId="7660"/>
    <cellStyle name="Output 3 2 2 3" xfId="10528"/>
    <cellStyle name="Output 3 2 3" xfId="3576"/>
    <cellStyle name="Output 3 2 3 2" xfId="7995"/>
    <cellStyle name="Output 3 2 3 3" xfId="10599"/>
    <cellStyle name="Output 3 2 4" xfId="3132"/>
    <cellStyle name="Output 3 2 4 2" xfId="7569"/>
    <cellStyle name="Output 3 2 4 3" xfId="10465"/>
    <cellStyle name="Output 3 2 5" xfId="5755"/>
    <cellStyle name="Output 3 2 5 2" xfId="9950"/>
    <cellStyle name="Output 3 2 5 3" xfId="10863"/>
    <cellStyle name="Output 3 2 6" xfId="5756"/>
    <cellStyle name="Output 3 2 6 2" xfId="9951"/>
    <cellStyle name="Output 3 2 6 3" xfId="10864"/>
    <cellStyle name="Output 3 2 7" xfId="5757"/>
    <cellStyle name="Output 3 2 7 2" xfId="9952"/>
    <cellStyle name="Output 3 2 7 3" xfId="10865"/>
    <cellStyle name="Output 3 2 8" xfId="5758"/>
    <cellStyle name="Output 3 2 8 2" xfId="9953"/>
    <cellStyle name="Output 3 2 8 3" xfId="10866"/>
    <cellStyle name="Output 3 2 9" xfId="5759"/>
    <cellStyle name="Output 3 2 9 2" xfId="9954"/>
    <cellStyle name="Output 3 2 9 3" xfId="10867"/>
    <cellStyle name="Output 3 3" xfId="2262"/>
    <cellStyle name="Output 3 3 10" xfId="6793"/>
    <cellStyle name="Output 3 3 11" xfId="10414"/>
    <cellStyle name="Output 3 3 2" xfId="3236"/>
    <cellStyle name="Output 3 3 2 2" xfId="7659"/>
    <cellStyle name="Output 3 3 2 3" xfId="10527"/>
    <cellStyle name="Output 3 3 3" xfId="3575"/>
    <cellStyle name="Output 3 3 3 2" xfId="7994"/>
    <cellStyle name="Output 3 3 3 3" xfId="10598"/>
    <cellStyle name="Output 3 3 4" xfId="2666"/>
    <cellStyle name="Output 3 3 4 2" xfId="7109"/>
    <cellStyle name="Output 3 3 4 3" xfId="10444"/>
    <cellStyle name="Output 3 3 5" xfId="5760"/>
    <cellStyle name="Output 3 3 5 2" xfId="9955"/>
    <cellStyle name="Output 3 3 5 3" xfId="10868"/>
    <cellStyle name="Output 3 3 6" xfId="5761"/>
    <cellStyle name="Output 3 3 6 2" xfId="9956"/>
    <cellStyle name="Output 3 3 6 3" xfId="10869"/>
    <cellStyle name="Output 3 3 7" xfId="5762"/>
    <cellStyle name="Output 3 3 7 2" xfId="9957"/>
    <cellStyle name="Output 3 3 7 3" xfId="10870"/>
    <cellStyle name="Output 3 3 8" xfId="5763"/>
    <cellStyle name="Output 3 3 8 2" xfId="9958"/>
    <cellStyle name="Output 3 3 8 3" xfId="10871"/>
    <cellStyle name="Output 3 3 9" xfId="5764"/>
    <cellStyle name="Output 3 3 9 2" xfId="9959"/>
    <cellStyle name="Output 3 3 9 3" xfId="10872"/>
    <cellStyle name="Output 3 4" xfId="3135"/>
    <cellStyle name="Output 3 4 2" xfId="7572"/>
    <cellStyle name="Output 3 4 3" xfId="10468"/>
    <cellStyle name="Output 3 5" xfId="2631"/>
    <cellStyle name="Output 3 5 2" xfId="7079"/>
    <cellStyle name="Output 3 5 3" xfId="10431"/>
    <cellStyle name="Output 3 6" xfId="3556"/>
    <cellStyle name="Output 3 6 2" xfId="7976"/>
    <cellStyle name="Output 3 6 3" xfId="10580"/>
    <cellStyle name="Output 3 7" xfId="5765"/>
    <cellStyle name="Output 3 7 2" xfId="9960"/>
    <cellStyle name="Output 3 7 3" xfId="10873"/>
    <cellStyle name="Output 3 8" xfId="5766"/>
    <cellStyle name="Output 3 8 2" xfId="9961"/>
    <cellStyle name="Output 3 8 3" xfId="10874"/>
    <cellStyle name="Output 3 9" xfId="5767"/>
    <cellStyle name="Output 3 9 2" xfId="9962"/>
    <cellStyle name="Output 3 9 3" xfId="10875"/>
    <cellStyle name="Output 4" xfId="808"/>
    <cellStyle name="Output 4 10" xfId="2264"/>
    <cellStyle name="Output 4 11" xfId="6795"/>
    <cellStyle name="Output 4 12" xfId="10416"/>
    <cellStyle name="Output 4 2" xfId="3238"/>
    <cellStyle name="Output 4 2 2" xfId="7661"/>
    <cellStyle name="Output 4 2 3" xfId="10529"/>
    <cellStyle name="Output 4 3" xfId="3577"/>
    <cellStyle name="Output 4 3 2" xfId="7996"/>
    <cellStyle name="Output 4 3 3" xfId="10600"/>
    <cellStyle name="Output 4 4" xfId="2665"/>
    <cellStyle name="Output 4 4 2" xfId="7108"/>
    <cellStyle name="Output 4 4 3" xfId="10443"/>
    <cellStyle name="Output 4 5" xfId="5768"/>
    <cellStyle name="Output 4 5 2" xfId="9963"/>
    <cellStyle name="Output 4 5 3" xfId="10876"/>
    <cellStyle name="Output 4 6" xfId="5769"/>
    <cellStyle name="Output 4 6 2" xfId="9964"/>
    <cellStyle name="Output 4 6 3" xfId="10877"/>
    <cellStyle name="Output 4 7" xfId="5770"/>
    <cellStyle name="Output 4 7 2" xfId="9965"/>
    <cellStyle name="Output 4 7 3" xfId="10878"/>
    <cellStyle name="Output 4 8" xfId="5771"/>
    <cellStyle name="Output 4 8 2" xfId="9966"/>
    <cellStyle name="Output 4 8 3" xfId="10879"/>
    <cellStyle name="Output 4 9" xfId="5772"/>
    <cellStyle name="Output 4 9 2" xfId="9967"/>
    <cellStyle name="Output 4 9 3" xfId="10880"/>
    <cellStyle name="Output 5" xfId="809"/>
    <cellStyle name="Output 5 10" xfId="2265"/>
    <cellStyle name="Output 5 11" xfId="6796"/>
    <cellStyle name="Output 5 12" xfId="10417"/>
    <cellStyle name="Output 5 2" xfId="3239"/>
    <cellStyle name="Output 5 2 2" xfId="7662"/>
    <cellStyle name="Output 5 2 3" xfId="10530"/>
    <cellStyle name="Output 5 3" xfId="3578"/>
    <cellStyle name="Output 5 3 2" xfId="7997"/>
    <cellStyle name="Output 5 3 3" xfId="10601"/>
    <cellStyle name="Output 5 4" xfId="3133"/>
    <cellStyle name="Output 5 4 2" xfId="7570"/>
    <cellStyle name="Output 5 4 3" xfId="10466"/>
    <cellStyle name="Output 5 5" xfId="5773"/>
    <cellStyle name="Output 5 5 2" xfId="9968"/>
    <cellStyle name="Output 5 5 3" xfId="10881"/>
    <cellStyle name="Output 5 6" xfId="5774"/>
    <cellStyle name="Output 5 6 2" xfId="9969"/>
    <cellStyle name="Output 5 6 3" xfId="10882"/>
    <cellStyle name="Output 5 7" xfId="5775"/>
    <cellStyle name="Output 5 7 2" xfId="9970"/>
    <cellStyle name="Output 5 7 3" xfId="10883"/>
    <cellStyle name="Output 5 8" xfId="5776"/>
    <cellStyle name="Output 5 8 2" xfId="9971"/>
    <cellStyle name="Output 5 8 3" xfId="10884"/>
    <cellStyle name="Output 5 9" xfId="5777"/>
    <cellStyle name="Output 5 9 2" xfId="9972"/>
    <cellStyle name="Output 5 9 3" xfId="10885"/>
    <cellStyle name="Output 6" xfId="810"/>
    <cellStyle name="Output 6 10" xfId="2266"/>
    <cellStyle name="Output 6 11" xfId="6797"/>
    <cellStyle name="Output 6 12" xfId="10418"/>
    <cellStyle name="Output 6 2" xfId="3240"/>
    <cellStyle name="Output 6 2 2" xfId="7663"/>
    <cellStyle name="Output 6 2 3" xfId="10531"/>
    <cellStyle name="Output 6 3" xfId="3579"/>
    <cellStyle name="Output 6 3 2" xfId="7998"/>
    <cellStyle name="Output 6 3 3" xfId="10602"/>
    <cellStyle name="Output 6 4" xfId="3041"/>
    <cellStyle name="Output 6 4 2" xfId="7479"/>
    <cellStyle name="Output 6 4 3" xfId="10461"/>
    <cellStyle name="Output 6 5" xfId="5778"/>
    <cellStyle name="Output 6 5 2" xfId="9973"/>
    <cellStyle name="Output 6 5 3" xfId="10886"/>
    <cellStyle name="Output 6 6" xfId="5779"/>
    <cellStyle name="Output 6 6 2" xfId="9974"/>
    <cellStyle name="Output 6 6 3" xfId="10887"/>
    <cellStyle name="Output 6 7" xfId="5780"/>
    <cellStyle name="Output 6 7 2" xfId="9975"/>
    <cellStyle name="Output 6 7 3" xfId="10888"/>
    <cellStyle name="Output 6 8" xfId="5781"/>
    <cellStyle name="Output 6 8 2" xfId="9976"/>
    <cellStyle name="Output 6 8 3" xfId="10889"/>
    <cellStyle name="Output 6 9" xfId="5782"/>
    <cellStyle name="Output 6 9 2" xfId="9977"/>
    <cellStyle name="Output 6 9 3" xfId="10890"/>
    <cellStyle name="Output 7" xfId="3224"/>
    <cellStyle name="Output 7 2" xfId="7647"/>
    <cellStyle name="Output 7 3" xfId="10515"/>
    <cellStyle name="Output 8" xfId="5783"/>
    <cellStyle name="Output 8 2" xfId="9978"/>
    <cellStyle name="Output 8 3" xfId="10891"/>
    <cellStyle name="Output 9" xfId="5784"/>
    <cellStyle name="Output 9 2" xfId="9979"/>
    <cellStyle name="Output 9 3" xfId="10892"/>
    <cellStyle name="Percent 10" xfId="5785"/>
    <cellStyle name="Percent 2" xfId="811"/>
    <cellStyle name="Percent 2 2" xfId="812"/>
    <cellStyle name="Percent 2 2 2" xfId="813"/>
    <cellStyle name="Percent 2 2 3" xfId="1184"/>
    <cellStyle name="Percent 2 2 3 2" xfId="2268"/>
    <cellStyle name="Percent 2 3" xfId="814"/>
    <cellStyle name="Percent 2 3 2" xfId="2269"/>
    <cellStyle name="Percent 2 3 3" xfId="1448"/>
    <cellStyle name="Percent 2 4" xfId="930"/>
    <cellStyle name="Percent 3" xfId="815"/>
    <cellStyle name="Percent 3 2" xfId="816"/>
    <cellStyle name="Percent 3 2 2" xfId="2270"/>
    <cellStyle name="Percent 3 2 2 2" xfId="3242"/>
    <cellStyle name="Percent 3 2 2 2 2" xfId="7664"/>
    <cellStyle name="Percent 3 2 2 3" xfId="6798"/>
    <cellStyle name="Percent 3 2 3" xfId="2651"/>
    <cellStyle name="Percent 3 2 3 2" xfId="7096"/>
    <cellStyle name="Percent 3 2 4" xfId="1236"/>
    <cellStyle name="Percent 3 2 5" xfId="6253"/>
    <cellStyle name="Percent 3 3" xfId="817"/>
    <cellStyle name="Percent 3 3 2" xfId="2271"/>
    <cellStyle name="Percent 3 3 2 2" xfId="3243"/>
    <cellStyle name="Percent 3 3 2 2 2" xfId="7665"/>
    <cellStyle name="Percent 3 3 2 3" xfId="6799"/>
    <cellStyle name="Percent 3 3 3" xfId="1449"/>
    <cellStyle name="Percent 3 4" xfId="818"/>
    <cellStyle name="Percent 3 5" xfId="2645"/>
    <cellStyle name="Percent 3 5 2" xfId="7090"/>
    <cellStyle name="Percent 3 6" xfId="1230"/>
    <cellStyle name="Percent 3 7" xfId="6246"/>
    <cellStyle name="Percent 4" xfId="819"/>
    <cellStyle name="Percent 4 2" xfId="820"/>
    <cellStyle name="Percent 4 2 2" xfId="986"/>
    <cellStyle name="Percent 5" xfId="821"/>
    <cellStyle name="Percent 5 2" xfId="2272"/>
    <cellStyle name="Percent 6" xfId="822"/>
    <cellStyle name="Percent 6 2" xfId="2273"/>
    <cellStyle name="Percent 7" xfId="823"/>
    <cellStyle name="Percent 8" xfId="824"/>
    <cellStyle name="Percent 8 2" xfId="2274"/>
    <cellStyle name="Percent 9" xfId="942"/>
    <cellStyle name="Percent 9 2" xfId="3241"/>
    <cellStyle name="Percent 9 3" xfId="2267"/>
    <cellStyle name="percentage difference" xfId="825"/>
    <cellStyle name="percentage difference 2" xfId="826"/>
    <cellStyle name="Publication" xfId="827"/>
    <cellStyle name="Publication 2" xfId="828"/>
    <cellStyle name="Publication 3" xfId="829"/>
    <cellStyle name="Sheet Title" xfId="830"/>
    <cellStyle name="Sheet Title 2" xfId="831"/>
    <cellStyle name="Sheet Title 2 2" xfId="2279"/>
    <cellStyle name="Sheet Title 2 3" xfId="1450"/>
    <cellStyle name="Standard_laroux" xfId="832"/>
    <cellStyle name="Style 1" xfId="833"/>
    <cellStyle name="Style 1 2" xfId="834"/>
    <cellStyle name="Style 1 2 2" xfId="835"/>
    <cellStyle name="Style 1 2 2 2" xfId="988"/>
    <cellStyle name="Style 1 2 2 2 2" xfId="2283"/>
    <cellStyle name="Style 1 2 2 3" xfId="1185"/>
    <cellStyle name="Style 1 2 3" xfId="836"/>
    <cellStyle name="Style 1 3" xfId="837"/>
    <cellStyle name="Style 1 3 2" xfId="838"/>
    <cellStyle name="Style 1 3 3" xfId="2284"/>
    <cellStyle name="Style 1 3 4" xfId="1451"/>
    <cellStyle name="Style 1 4" xfId="987"/>
    <cellStyle name="Style 2" xfId="839"/>
    <cellStyle name="Text" xfId="840"/>
    <cellStyle name="Text 2" xfId="841"/>
    <cellStyle name="Text 2 2" xfId="989"/>
    <cellStyle name="Text 3" xfId="842"/>
    <cellStyle name="Text 3 2" xfId="843"/>
    <cellStyle name="Text 4" xfId="844"/>
    <cellStyle name="Text 4 2" xfId="2288"/>
    <cellStyle name="Text 5" xfId="845"/>
    <cellStyle name="Text 5 2" xfId="2289"/>
    <cellStyle name="Text 6" xfId="946"/>
    <cellStyle name="Title" xfId="10961" builtinId="15" customBuiltin="1"/>
    <cellStyle name="Title 2" xfId="846"/>
    <cellStyle name="Title 2 2" xfId="847"/>
    <cellStyle name="Title 2 2 2" xfId="1109"/>
    <cellStyle name="Title 2 2 2 2" xfId="2291"/>
    <cellStyle name="Title 2 2 3" xfId="1452"/>
    <cellStyle name="Title 2 3" xfId="848"/>
    <cellStyle name="Title 3" xfId="849"/>
    <cellStyle name="Title 3 2" xfId="1110"/>
    <cellStyle name="Title 4" xfId="5786"/>
    <cellStyle name="Total" xfId="10976" builtinId="25" customBuiltin="1"/>
    <cellStyle name="Total 10" xfId="5787"/>
    <cellStyle name="Total 10 2" xfId="9981"/>
    <cellStyle name="Total 10 3" xfId="10893"/>
    <cellStyle name="Total 11" xfId="5788"/>
    <cellStyle name="Total 11 2" xfId="9982"/>
    <cellStyle name="Total 11 3" xfId="10894"/>
    <cellStyle name="Total 12" xfId="5789"/>
    <cellStyle name="Total 12 2" xfId="9983"/>
    <cellStyle name="Total 12 3" xfId="10895"/>
    <cellStyle name="Total 13" xfId="5790"/>
    <cellStyle name="Total 13 2" xfId="9984"/>
    <cellStyle name="Total 13 3" xfId="10896"/>
    <cellStyle name="Total 14" xfId="6237"/>
    <cellStyle name="Total 2" xfId="850"/>
    <cellStyle name="Total 2 2" xfId="851"/>
    <cellStyle name="Total 2 2 2" xfId="852"/>
    <cellStyle name="Total 2 2 3" xfId="853"/>
    <cellStyle name="Total 2 2 3 10" xfId="2294"/>
    <cellStyle name="Total 2 2 3 11" xfId="6803"/>
    <cellStyle name="Total 2 2 3 12" xfId="10420"/>
    <cellStyle name="Total 2 2 3 2" xfId="3247"/>
    <cellStyle name="Total 2 2 3 2 2" xfId="7669"/>
    <cellStyle name="Total 2 2 3 2 3" xfId="10535"/>
    <cellStyle name="Total 2 2 3 3" xfId="3582"/>
    <cellStyle name="Total 2 2 3 3 2" xfId="8001"/>
    <cellStyle name="Total 2 2 3 3 3" xfId="10605"/>
    <cellStyle name="Total 2 2 3 4" xfId="2667"/>
    <cellStyle name="Total 2 2 3 4 2" xfId="7110"/>
    <cellStyle name="Total 2 2 3 4 3" xfId="10445"/>
    <cellStyle name="Total 2 2 3 5" xfId="5791"/>
    <cellStyle name="Total 2 2 3 5 2" xfId="9985"/>
    <cellStyle name="Total 2 2 3 5 3" xfId="10897"/>
    <cellStyle name="Total 2 2 3 6" xfId="5792"/>
    <cellStyle name="Total 2 2 3 6 2" xfId="9986"/>
    <cellStyle name="Total 2 2 3 6 3" xfId="10898"/>
    <cellStyle name="Total 2 2 3 7" xfId="5793"/>
    <cellStyle name="Total 2 2 3 7 2" xfId="9987"/>
    <cellStyle name="Total 2 2 3 7 3" xfId="10899"/>
    <cellStyle name="Total 2 2 3 8" xfId="5794"/>
    <cellStyle name="Total 2 2 3 8 2" xfId="9988"/>
    <cellStyle name="Total 2 2 3 8 3" xfId="10900"/>
    <cellStyle name="Total 2 2 3 9" xfId="5795"/>
    <cellStyle name="Total 2 2 3 9 2" xfId="9989"/>
    <cellStyle name="Total 2 2 3 9 3" xfId="10901"/>
    <cellStyle name="Total 2 2 4" xfId="2293"/>
    <cellStyle name="Total 2 2 4 10" xfId="6801"/>
    <cellStyle name="Total 2 2 4 11" xfId="10419"/>
    <cellStyle name="Total 2 2 4 2" xfId="3246"/>
    <cellStyle name="Total 2 2 4 2 2" xfId="7668"/>
    <cellStyle name="Total 2 2 4 2 3" xfId="10534"/>
    <cellStyle name="Total 2 2 4 3" xfId="3581"/>
    <cellStyle name="Total 2 2 4 3 2" xfId="8000"/>
    <cellStyle name="Total 2 2 4 3 3" xfId="10604"/>
    <cellStyle name="Total 2 2 4 4" xfId="2668"/>
    <cellStyle name="Total 2 2 4 4 2" xfId="7111"/>
    <cellStyle name="Total 2 2 4 4 3" xfId="10446"/>
    <cellStyle name="Total 2 2 4 5" xfId="5796"/>
    <cellStyle name="Total 2 2 4 5 2" xfId="9990"/>
    <cellStyle name="Total 2 2 4 5 3" xfId="10902"/>
    <cellStyle name="Total 2 2 4 6" xfId="5797"/>
    <cellStyle name="Total 2 2 4 6 2" xfId="9991"/>
    <cellStyle name="Total 2 2 4 6 3" xfId="10903"/>
    <cellStyle name="Total 2 2 4 7" xfId="5798"/>
    <cellStyle name="Total 2 2 4 7 2" xfId="9992"/>
    <cellStyle name="Total 2 2 4 7 3" xfId="10904"/>
    <cellStyle name="Total 2 2 4 8" xfId="5799"/>
    <cellStyle name="Total 2 2 4 8 2" xfId="9993"/>
    <cellStyle name="Total 2 2 4 8 3" xfId="10905"/>
    <cellStyle name="Total 2 2 4 9" xfId="5800"/>
    <cellStyle name="Total 2 2 4 9 2" xfId="9994"/>
    <cellStyle name="Total 2 2 4 9 3" xfId="10906"/>
    <cellStyle name="Total 2 3" xfId="854"/>
    <cellStyle name="Total 2 3 10" xfId="6725"/>
    <cellStyle name="Total 2 3 2" xfId="855"/>
    <cellStyle name="Total 2 3 2 10" xfId="2296"/>
    <cellStyle name="Total 2 3 2 11" xfId="6804"/>
    <cellStyle name="Total 2 3 2 12" xfId="10421"/>
    <cellStyle name="Total 2 3 2 2" xfId="3248"/>
    <cellStyle name="Total 2 3 2 2 2" xfId="7670"/>
    <cellStyle name="Total 2 3 2 2 3" xfId="10536"/>
    <cellStyle name="Total 2 3 2 3" xfId="3583"/>
    <cellStyle name="Total 2 3 2 3 2" xfId="8002"/>
    <cellStyle name="Total 2 3 2 3 3" xfId="10606"/>
    <cellStyle name="Total 2 3 2 4" xfId="3143"/>
    <cellStyle name="Total 2 3 2 4 2" xfId="7578"/>
    <cellStyle name="Total 2 3 2 4 3" xfId="10472"/>
    <cellStyle name="Total 2 3 2 5" xfId="5801"/>
    <cellStyle name="Total 2 3 2 5 2" xfId="9995"/>
    <cellStyle name="Total 2 3 2 5 3" xfId="10907"/>
    <cellStyle name="Total 2 3 2 6" xfId="5802"/>
    <cellStyle name="Total 2 3 2 6 2" xfId="9996"/>
    <cellStyle name="Total 2 3 2 6 3" xfId="10908"/>
    <cellStyle name="Total 2 3 2 7" xfId="5803"/>
    <cellStyle name="Total 2 3 2 7 2" xfId="9997"/>
    <cellStyle name="Total 2 3 2 7 3" xfId="10909"/>
    <cellStyle name="Total 2 3 2 8" xfId="5804"/>
    <cellStyle name="Total 2 3 2 8 2" xfId="9998"/>
    <cellStyle name="Total 2 3 2 8 3" xfId="10910"/>
    <cellStyle name="Total 2 3 2 9" xfId="5805"/>
    <cellStyle name="Total 2 3 2 9 2" xfId="9999"/>
    <cellStyle name="Total 2 3 2 9 3" xfId="10911"/>
    <cellStyle name="Total 2 3 3" xfId="1186"/>
    <cellStyle name="Total 2 3 3 2" xfId="2295"/>
    <cellStyle name="Total 2 3 4" xfId="3189"/>
    <cellStyle name="Total 2 3 4 2" xfId="7615"/>
    <cellStyle name="Total 2 3 4 3" xfId="10505"/>
    <cellStyle name="Total 2 3 5" xfId="5806"/>
    <cellStyle name="Total 2 3 5 2" xfId="10000"/>
    <cellStyle name="Total 2 3 5 3" xfId="10912"/>
    <cellStyle name="Total 2 3 6" xfId="5807"/>
    <cellStyle name="Total 2 3 6 2" xfId="10001"/>
    <cellStyle name="Total 2 3 6 3" xfId="10913"/>
    <cellStyle name="Total 2 3 7" xfId="5808"/>
    <cellStyle name="Total 2 3 7 2" xfId="10002"/>
    <cellStyle name="Total 2 3 7 3" xfId="10914"/>
    <cellStyle name="Total 2 3 8" xfId="5809"/>
    <cellStyle name="Total 2 3 8 2" xfId="10003"/>
    <cellStyle name="Total 2 3 8 3" xfId="10915"/>
    <cellStyle name="Total 2 3 9" xfId="5810"/>
    <cellStyle name="Total 2 3 9 2" xfId="10004"/>
    <cellStyle name="Total 2 3 9 3" xfId="10916"/>
    <cellStyle name="Total 2 4" xfId="856"/>
    <cellStyle name="Total 2 4 10" xfId="5811"/>
    <cellStyle name="Total 2 4 10 2" xfId="10005"/>
    <cellStyle name="Total 2 4 10 3" xfId="10917"/>
    <cellStyle name="Total 2 4 11" xfId="1548"/>
    <cellStyle name="Total 2 4 12" xfId="6446"/>
    <cellStyle name="Total 2 4 13" xfId="6534"/>
    <cellStyle name="Total 2 4 2" xfId="2297"/>
    <cellStyle name="Total 2 4 2 10" xfId="6805"/>
    <cellStyle name="Total 2 4 2 11" xfId="10422"/>
    <cellStyle name="Total 2 4 2 2" xfId="3249"/>
    <cellStyle name="Total 2 4 2 2 2" xfId="7671"/>
    <cellStyle name="Total 2 4 2 2 3" xfId="10537"/>
    <cellStyle name="Total 2 4 2 3" xfId="3584"/>
    <cellStyle name="Total 2 4 2 3 2" xfId="8003"/>
    <cellStyle name="Total 2 4 2 3 3" xfId="10607"/>
    <cellStyle name="Total 2 4 2 4" xfId="3060"/>
    <cellStyle name="Total 2 4 2 4 2" xfId="7498"/>
    <cellStyle name="Total 2 4 2 4 3" xfId="10462"/>
    <cellStyle name="Total 2 4 2 5" xfId="5812"/>
    <cellStyle name="Total 2 4 2 5 2" xfId="10006"/>
    <cellStyle name="Total 2 4 2 5 3" xfId="10918"/>
    <cellStyle name="Total 2 4 2 6" xfId="5813"/>
    <cellStyle name="Total 2 4 2 6 2" xfId="10007"/>
    <cellStyle name="Total 2 4 2 6 3" xfId="10919"/>
    <cellStyle name="Total 2 4 2 7" xfId="5814"/>
    <cellStyle name="Total 2 4 2 7 2" xfId="10008"/>
    <cellStyle name="Total 2 4 2 7 3" xfId="10920"/>
    <cellStyle name="Total 2 4 2 8" xfId="5815"/>
    <cellStyle name="Total 2 4 2 8 2" xfId="10009"/>
    <cellStyle name="Total 2 4 2 8 3" xfId="10921"/>
    <cellStyle name="Total 2 4 2 9" xfId="5816"/>
    <cellStyle name="Total 2 4 2 9 2" xfId="10010"/>
    <cellStyle name="Total 2 4 2 9 3" xfId="10922"/>
    <cellStyle name="Total 2 4 3" xfId="2857"/>
    <cellStyle name="Total 2 4 3 2" xfId="7298"/>
    <cellStyle name="Total 2 4 3 3" xfId="10458"/>
    <cellStyle name="Total 2 4 4" xfId="2673"/>
    <cellStyle name="Total 2 4 4 2" xfId="7115"/>
    <cellStyle name="Total 2 4 4 3" xfId="10449"/>
    <cellStyle name="Total 2 4 5" xfId="3184"/>
    <cellStyle name="Total 2 4 5 2" xfId="7612"/>
    <cellStyle name="Total 2 4 5 3" xfId="10502"/>
    <cellStyle name="Total 2 4 6" xfId="5817"/>
    <cellStyle name="Total 2 4 6 2" xfId="10011"/>
    <cellStyle name="Total 2 4 6 3" xfId="10923"/>
    <cellStyle name="Total 2 4 7" xfId="5818"/>
    <cellStyle name="Total 2 4 7 2" xfId="10012"/>
    <cellStyle name="Total 2 4 7 3" xfId="10924"/>
    <cellStyle name="Total 2 4 8" xfId="5819"/>
    <cellStyle name="Total 2 4 8 2" xfId="10013"/>
    <cellStyle name="Total 2 4 8 3" xfId="10925"/>
    <cellStyle name="Total 2 4 9" xfId="5820"/>
    <cellStyle name="Total 2 4 9 2" xfId="10014"/>
    <cellStyle name="Total 2 4 9 3" xfId="10926"/>
    <cellStyle name="Total 2 5" xfId="3795"/>
    <cellStyle name="Total 2 5 2" xfId="8190"/>
    <cellStyle name="Total 2 5 3" xfId="10618"/>
    <cellStyle name="Total 2 6" xfId="5320"/>
    <cellStyle name="Total 2 6 2" xfId="9619"/>
    <cellStyle name="Total 2 6 3" xfId="10623"/>
    <cellStyle name="Total 2 7" xfId="6036"/>
    <cellStyle name="Total 2 7 2" xfId="10222"/>
    <cellStyle name="Total 2 7 3" xfId="10960"/>
    <cellStyle name="Total 3" xfId="857"/>
    <cellStyle name="Total 3 2" xfId="858"/>
    <cellStyle name="Total 3 2 10" xfId="2298"/>
    <cellStyle name="Total 3 2 11" xfId="6806"/>
    <cellStyle name="Total 3 2 12" xfId="10423"/>
    <cellStyle name="Total 3 2 2" xfId="3250"/>
    <cellStyle name="Total 3 2 2 2" xfId="7672"/>
    <cellStyle name="Total 3 2 2 3" xfId="10538"/>
    <cellStyle name="Total 3 2 3" xfId="3585"/>
    <cellStyle name="Total 3 2 3 2" xfId="8004"/>
    <cellStyle name="Total 3 2 3 3" xfId="10608"/>
    <cellStyle name="Total 3 2 4" xfId="2658"/>
    <cellStyle name="Total 3 2 4 2" xfId="7103"/>
    <cellStyle name="Total 3 2 4 3" xfId="10439"/>
    <cellStyle name="Total 3 2 5" xfId="5821"/>
    <cellStyle name="Total 3 2 5 2" xfId="10015"/>
    <cellStyle name="Total 3 2 5 3" xfId="10927"/>
    <cellStyle name="Total 3 2 6" xfId="5822"/>
    <cellStyle name="Total 3 2 6 2" xfId="10016"/>
    <cellStyle name="Total 3 2 6 3" xfId="10928"/>
    <cellStyle name="Total 3 2 7" xfId="5823"/>
    <cellStyle name="Total 3 2 7 2" xfId="10017"/>
    <cellStyle name="Total 3 2 7 3" xfId="10929"/>
    <cellStyle name="Total 3 2 8" xfId="5824"/>
    <cellStyle name="Total 3 2 8 2" xfId="10018"/>
    <cellStyle name="Total 3 2 8 3" xfId="10930"/>
    <cellStyle name="Total 3 2 9" xfId="5825"/>
    <cellStyle name="Total 3 2 9 2" xfId="10019"/>
    <cellStyle name="Total 3 2 9 3" xfId="10931"/>
    <cellStyle name="Total 4" xfId="859"/>
    <cellStyle name="Total 4 10" xfId="5826"/>
    <cellStyle name="Total 4 10 2" xfId="10020"/>
    <cellStyle name="Total 4 10 3" xfId="10932"/>
    <cellStyle name="Total 4 11" xfId="5827"/>
    <cellStyle name="Total 4 11 2" xfId="10021"/>
    <cellStyle name="Total 4 11 3" xfId="10933"/>
    <cellStyle name="Total 4 12" xfId="5828"/>
    <cellStyle name="Total 4 12 2" xfId="10022"/>
    <cellStyle name="Total 4 12 3" xfId="10934"/>
    <cellStyle name="Total 4 13" xfId="1918"/>
    <cellStyle name="Total 4 14" xfId="6715"/>
    <cellStyle name="Total 4 15" xfId="6722"/>
    <cellStyle name="Total 4 2" xfId="860"/>
    <cellStyle name="Total 4 2 10" xfId="2300"/>
    <cellStyle name="Total 4 2 11" xfId="6808"/>
    <cellStyle name="Total 4 2 12" xfId="10425"/>
    <cellStyle name="Total 4 2 2" xfId="3252"/>
    <cellStyle name="Total 4 2 2 2" xfId="7674"/>
    <cellStyle name="Total 4 2 2 3" xfId="10540"/>
    <cellStyle name="Total 4 2 3" xfId="3587"/>
    <cellStyle name="Total 4 2 3 2" xfId="8006"/>
    <cellStyle name="Total 4 2 3 3" xfId="10610"/>
    <cellStyle name="Total 4 2 4" xfId="2629"/>
    <cellStyle name="Total 4 2 4 2" xfId="7077"/>
    <cellStyle name="Total 4 2 4 3" xfId="10429"/>
    <cellStyle name="Total 4 2 5" xfId="5829"/>
    <cellStyle name="Total 4 2 5 2" xfId="10023"/>
    <cellStyle name="Total 4 2 5 3" xfId="10935"/>
    <cellStyle name="Total 4 2 6" xfId="5830"/>
    <cellStyle name="Total 4 2 6 2" xfId="10024"/>
    <cellStyle name="Total 4 2 6 3" xfId="10936"/>
    <cellStyle name="Total 4 2 7" xfId="5831"/>
    <cellStyle name="Total 4 2 7 2" xfId="10025"/>
    <cellStyle name="Total 4 2 7 3" xfId="10937"/>
    <cellStyle name="Total 4 2 8" xfId="5832"/>
    <cellStyle name="Total 4 2 8 2" xfId="10026"/>
    <cellStyle name="Total 4 2 8 3" xfId="10938"/>
    <cellStyle name="Total 4 2 9" xfId="5833"/>
    <cellStyle name="Total 4 2 9 2" xfId="10027"/>
    <cellStyle name="Total 4 2 9 3" xfId="10939"/>
    <cellStyle name="Total 4 3" xfId="861"/>
    <cellStyle name="Total 4 4" xfId="2299"/>
    <cellStyle name="Total 4 4 10" xfId="6807"/>
    <cellStyle name="Total 4 4 11" xfId="10424"/>
    <cellStyle name="Total 4 4 2" xfId="3251"/>
    <cellStyle name="Total 4 4 2 2" xfId="7673"/>
    <cellStyle name="Total 4 4 2 3" xfId="10539"/>
    <cellStyle name="Total 4 4 3" xfId="3586"/>
    <cellStyle name="Total 4 4 3 2" xfId="8005"/>
    <cellStyle name="Total 4 4 3 3" xfId="10609"/>
    <cellStyle name="Total 4 4 4" xfId="3061"/>
    <cellStyle name="Total 4 4 4 2" xfId="7499"/>
    <cellStyle name="Total 4 4 4 3" xfId="10463"/>
    <cellStyle name="Total 4 4 5" xfId="5834"/>
    <cellStyle name="Total 4 4 5 2" xfId="10028"/>
    <cellStyle name="Total 4 4 5 3" xfId="10940"/>
    <cellStyle name="Total 4 4 6" xfId="5835"/>
    <cellStyle name="Total 4 4 6 2" xfId="10029"/>
    <cellStyle name="Total 4 4 6 3" xfId="10941"/>
    <cellStyle name="Total 4 4 7" xfId="5836"/>
    <cellStyle name="Total 4 4 7 2" xfId="10030"/>
    <cellStyle name="Total 4 4 7 3" xfId="10942"/>
    <cellStyle name="Total 4 4 8" xfId="5837"/>
    <cellStyle name="Total 4 4 8 2" xfId="10031"/>
    <cellStyle name="Total 4 4 8 3" xfId="10943"/>
    <cellStyle name="Total 4 4 9" xfId="5838"/>
    <cellStyle name="Total 4 4 9 2" xfId="10032"/>
    <cellStyle name="Total 4 4 9 3" xfId="10944"/>
    <cellStyle name="Total 4 5" xfId="3134"/>
    <cellStyle name="Total 4 5 2" xfId="7571"/>
    <cellStyle name="Total 4 5 3" xfId="10467"/>
    <cellStyle name="Total 4 6" xfId="3149"/>
    <cellStyle name="Total 4 6 2" xfId="7583"/>
    <cellStyle name="Total 4 6 3" xfId="10477"/>
    <cellStyle name="Total 4 7" xfId="3163"/>
    <cellStyle name="Total 4 7 2" xfId="7595"/>
    <cellStyle name="Total 4 7 3" xfId="10489"/>
    <cellStyle name="Total 4 8" xfId="5839"/>
    <cellStyle name="Total 4 8 2" xfId="10033"/>
    <cellStyle name="Total 4 8 3" xfId="10945"/>
    <cellStyle name="Total 4 9" xfId="5840"/>
    <cellStyle name="Total 4 9 2" xfId="10034"/>
    <cellStyle name="Total 4 9 3" xfId="10946"/>
    <cellStyle name="Total 5" xfId="862"/>
    <cellStyle name="Total 5 10" xfId="2301"/>
    <cellStyle name="Total 5 11" xfId="6810"/>
    <cellStyle name="Total 5 12" xfId="10426"/>
    <cellStyle name="Total 5 2" xfId="3254"/>
    <cellStyle name="Total 5 2 2" xfId="7676"/>
    <cellStyle name="Total 5 2 3" xfId="10542"/>
    <cellStyle name="Total 5 3" xfId="3588"/>
    <cellStyle name="Total 5 3 2" xfId="8007"/>
    <cellStyle name="Total 5 3 3" xfId="10611"/>
    <cellStyle name="Total 5 4" xfId="3580"/>
    <cellStyle name="Total 5 4 2" xfId="7999"/>
    <cellStyle name="Total 5 4 3" xfId="10603"/>
    <cellStyle name="Total 5 5" xfId="5841"/>
    <cellStyle name="Total 5 5 2" xfId="10035"/>
    <cellStyle name="Total 5 5 3" xfId="10947"/>
    <cellStyle name="Total 5 6" xfId="5842"/>
    <cellStyle name="Total 5 6 2" xfId="10036"/>
    <cellStyle name="Total 5 6 3" xfId="10948"/>
    <cellStyle name="Total 5 7" xfId="5843"/>
    <cellStyle name="Total 5 7 2" xfId="10037"/>
    <cellStyle name="Total 5 7 3" xfId="10949"/>
    <cellStyle name="Total 5 8" xfId="5844"/>
    <cellStyle name="Total 5 8 2" xfId="10038"/>
    <cellStyle name="Total 5 8 3" xfId="10950"/>
    <cellStyle name="Total 5 9" xfId="5845"/>
    <cellStyle name="Total 5 9 2" xfId="10039"/>
    <cellStyle name="Total 5 9 3" xfId="10951"/>
    <cellStyle name="Total 6" xfId="863"/>
    <cellStyle name="Total 6 10" xfId="2302"/>
    <cellStyle name="Total 6 11" xfId="6811"/>
    <cellStyle name="Total 6 12" xfId="10427"/>
    <cellStyle name="Total 6 2" xfId="3255"/>
    <cellStyle name="Total 6 2 2" xfId="7677"/>
    <cellStyle name="Total 6 2 3" xfId="10543"/>
    <cellStyle name="Total 6 3" xfId="3589"/>
    <cellStyle name="Total 6 3 2" xfId="8008"/>
    <cellStyle name="Total 6 3 3" xfId="10612"/>
    <cellStyle name="Total 6 4" xfId="3557"/>
    <cellStyle name="Total 6 4 2" xfId="7977"/>
    <cellStyle name="Total 6 4 3" xfId="10581"/>
    <cellStyle name="Total 6 5" xfId="5846"/>
    <cellStyle name="Total 6 5 2" xfId="10040"/>
    <cellStyle name="Total 6 5 3" xfId="10952"/>
    <cellStyle name="Total 6 6" xfId="5847"/>
    <cellStyle name="Total 6 6 2" xfId="10041"/>
    <cellStyle name="Total 6 6 3" xfId="10953"/>
    <cellStyle name="Total 6 7" xfId="5848"/>
    <cellStyle name="Total 6 7 2" xfId="10042"/>
    <cellStyle name="Total 6 7 3" xfId="10954"/>
    <cellStyle name="Total 6 8" xfId="5849"/>
    <cellStyle name="Total 6 8 2" xfId="10043"/>
    <cellStyle name="Total 6 8 3" xfId="10955"/>
    <cellStyle name="Total 6 9" xfId="5850"/>
    <cellStyle name="Total 6 9 2" xfId="10044"/>
    <cellStyle name="Total 6 9 3" xfId="10956"/>
    <cellStyle name="Total 7" xfId="3220"/>
    <cellStyle name="Total 7 2" xfId="7643"/>
    <cellStyle name="Total 7 3" xfId="10511"/>
    <cellStyle name="Total 8" xfId="5851"/>
    <cellStyle name="Total 8 2" xfId="10045"/>
    <cellStyle name="Total 8 3" xfId="10957"/>
    <cellStyle name="Total 9" xfId="5852"/>
    <cellStyle name="Total 9 2" xfId="10046"/>
    <cellStyle name="Total 9 3" xfId="10958"/>
    <cellStyle name="ux" xfId="864"/>
    <cellStyle name="ux 2" xfId="865"/>
    <cellStyle name="ux 2 2" xfId="990"/>
    <cellStyle name="ux 3" xfId="866"/>
    <cellStyle name="ux 3 2" xfId="867"/>
    <cellStyle name="ux 4" xfId="868"/>
    <cellStyle name="ux 4 2" xfId="869"/>
    <cellStyle name="ux 5" xfId="870"/>
    <cellStyle name="ux 5 2" xfId="2303"/>
    <cellStyle name="ux 6" xfId="947"/>
    <cellStyle name="Währung [0]_laroux" xfId="871"/>
    <cellStyle name="Währung_laroux" xfId="872"/>
    <cellStyle name="Warning Text" xfId="10974" builtinId="11" customBuiltin="1"/>
    <cellStyle name="Warning Text 2" xfId="873"/>
    <cellStyle name="Warning Text 2 2" xfId="874"/>
    <cellStyle name="Warning Text 2 2 2" xfId="875"/>
    <cellStyle name="Warning Text 2 2 3" xfId="2304"/>
    <cellStyle name="Warning Text 2 2 4" xfId="1453"/>
    <cellStyle name="Warning Text 2 3" xfId="876"/>
    <cellStyle name="Warning Text 2 3 2" xfId="877"/>
    <cellStyle name="Warning Text 2 4" xfId="878"/>
    <cellStyle name="Warning Text 3" xfId="879"/>
    <cellStyle name="Warning Text 3 2" xfId="880"/>
    <cellStyle name="Warning Text 3 3" xfId="2305"/>
    <cellStyle name="Warning Text 3 4" xfId="1917"/>
    <cellStyle name="Warning Text 4" xfId="881"/>
    <cellStyle name="Warning Text 5" xfId="882"/>
    <cellStyle name="Warning Text 6" xfId="883"/>
    <cellStyle name="Warning Text 7" xfId="5853"/>
    <cellStyle name="WebAnchor1" xfId="884"/>
    <cellStyle name="WebAnchor2" xfId="885"/>
    <cellStyle name="WebAnchor3" xfId="886"/>
    <cellStyle name="WebAnchor4" xfId="887"/>
    <cellStyle name="WebAnchor5" xfId="888"/>
    <cellStyle name="WebAnchor6" xfId="889"/>
    <cellStyle name="WebAnchor7" xfId="890"/>
    <cellStyle name="Webexclude" xfId="891"/>
    <cellStyle name="Webexclude 2" xfId="2308"/>
    <cellStyle name="WebFN" xfId="892"/>
    <cellStyle name="WebFN1" xfId="893"/>
    <cellStyle name="WebFN2" xfId="894"/>
    <cellStyle name="WebFN3" xfId="895"/>
    <cellStyle name="WebFN4" xfId="896"/>
    <cellStyle name="WebHR" xfId="897"/>
    <cellStyle name="WebHR 2" xfId="2311"/>
    <cellStyle name="WebIndent1" xfId="898"/>
    <cellStyle name="WebIndent1 2" xfId="2312"/>
    <cellStyle name="WebIndent1wFN3" xfId="899"/>
    <cellStyle name="WebIndent2" xfId="900"/>
    <cellStyle name="WebIndent2 2" xfId="2313"/>
    <cellStyle name="WebNoBR" xfId="901"/>
    <cellStyle name="WebNoBR 2" xfId="2314"/>
    <cellStyle name="ДАТА" xfId="902"/>
    <cellStyle name="ДЕНЕЖНЫЙ_BOPENGC" xfId="903"/>
    <cellStyle name="ЗАГОЛОВОК1" xfId="904"/>
    <cellStyle name="ЗАГОЛОВОК2" xfId="905"/>
    <cellStyle name="ИТОГОВЫЙ" xfId="906"/>
    <cellStyle name="Обычный_BOPENGC" xfId="907"/>
    <cellStyle name="ПРОЦЕНТНЫЙ_BOPENGC" xfId="908"/>
    <cellStyle name="ТЕКСТ" xfId="909"/>
    <cellStyle name="ФИКСИРОВАННЫЙ" xfId="910"/>
    <cellStyle name="ФИНАНСОВЫЙ_BOPENGC" xfId="9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ghazaryan/AppData/Local/Microsoft/Windows/Temporary%20Internet%20Files/Content.Outlook/5H5SVTD2/ARM_-_Monthly_monitoring-June%2022-working_file%20(2)%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GhazaryanLOCAL/Documents/Monetary%20Sector/Central%20Bank%20Accounts%20and%20Monetary%20Surve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My%20Documents\IMF\IMF-working%20files\Monetary%20Sector\1-WORKING%20FILES\Central%20Bank%20Accounts\Central%20Bank%20Accounts%20and%20Monetary%20Surve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My%20Documents\IMF\IMF-working%20files\Monetary%20Sector\1-WORKING%20FILES\Loans-deposits\1-Working%20Files\Loan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My%20Documents\IMF\IMF-working%20files\Monetary%20Sector\1-WORKING%20FILES\fin%20data\1-working%20files\Commercial%20bank%20detailed%20balance%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ManookianLOCAL/Documents/IMF/IMF-working%20files/Monetary%20Sector/1-WORKING%20FILES/Central%20Bank%20Accounts/Central%20Bank%20Accounts%20and%20Monetary%20Surve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ManookianLOCAL/Documents/IMF/IMF-working%20files/Monetary%20Sector/1-WORKING%20FILES/Loans-deposits/1-Working%20Files/loans-deposi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vjanvelyan/AppData/Local/Microsoft/Windows/Temporary%20Internet%20Files/Content.Outlook/85NVRZY1/Monthly%20monitoring-June%2010-2014-working_file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
      <sheetName val="Mon"/>
      <sheetName val="Fis"/>
      <sheetName val="Ext"/>
      <sheetName val="From CEIC database"/>
      <sheetName val="DMX out sheet"/>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ised Accounts of CBA_A"/>
      <sheetName val="Summarised Accounts of CBA_S"/>
      <sheetName val="RM_CBA_Q_QoQ"/>
      <sheetName val="RM_CBA_Q_YoY"/>
      <sheetName val="RM_CBA_M_MoM"/>
      <sheetName val="Accounts of CBA_Program ER"/>
      <sheetName val="Accounts of the Central Bank"/>
      <sheetName val="Chart1"/>
      <sheetName val="Monetary Survey"/>
      <sheetName val="Cash in circulation SA"/>
      <sheetName val="Charts&gt;&gt;&gt;"/>
      <sheetName val="Chart_Cash&amp;FX"/>
      <sheetName val="Chart_Cash&amp;Dollarization"/>
      <sheetName val="Chart_IRates"/>
      <sheetName val="Panel_BM&amp;OMO Semesters"/>
      <sheetName val="Panel_MO&amp;SF Semesters"/>
      <sheetName val="Panel_BM&amp;OMO 2009"/>
      <sheetName val="Panel_MO&amp;SF 2009"/>
      <sheetName val="Panel_BM&amp;OMO 2008"/>
      <sheetName val="Panel_MO&amp;SF 2008"/>
      <sheetName val="Panel_BM&amp;OMO Q"/>
      <sheetName val="Panel_BM&amp;OMO Q_YoY"/>
      <sheetName val="Panel_MO&amp;SF Q"/>
      <sheetName val="Panel_BM&amp;OMO A"/>
      <sheetName val="Panel_MO&amp;SF A"/>
      <sheetName val="Sheet3"/>
      <sheetName val="Summarised Accounts of CBA_Q"/>
      <sheetName val="Summarised Accounts of CBA_M"/>
      <sheetName val="Char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2">
          <cell r="Z22">
            <v>459974.83933229995</v>
          </cell>
          <cell r="AA22">
            <v>469644.99730889994</v>
          </cell>
          <cell r="AB22">
            <v>482928.23263380001</v>
          </cell>
          <cell r="AC22">
            <v>494846.05958160001</v>
          </cell>
          <cell r="AD22">
            <v>493937.93672499998</v>
          </cell>
          <cell r="AE22">
            <v>523035.7707767</v>
          </cell>
          <cell r="AF22">
            <v>554278.74578</v>
          </cell>
          <cell r="AG22">
            <v>570474.91986189992</v>
          </cell>
          <cell r="AH22">
            <v>581890.5734465</v>
          </cell>
          <cell r="AI22">
            <v>600156.23330159998</v>
          </cell>
          <cell r="AJ22">
            <v>651633.53426630003</v>
          </cell>
          <cell r="AK22">
            <v>691343.26651840005</v>
          </cell>
          <cell r="AL22">
            <v>663416.89917739993</v>
          </cell>
          <cell r="AM22">
            <v>673754.93517870014</v>
          </cell>
          <cell r="AN22">
            <v>678658.1638358999</v>
          </cell>
          <cell r="AO22">
            <v>692399.76906860003</v>
          </cell>
          <cell r="AP22">
            <v>697152.1793685999</v>
          </cell>
          <cell r="AQ22">
            <v>712117.79358319996</v>
          </cell>
          <cell r="AR22">
            <v>740962.65188320004</v>
          </cell>
          <cell r="AS22">
            <v>753253.92815769999</v>
          </cell>
          <cell r="AT22">
            <v>753213.22065369994</v>
          </cell>
          <cell r="AU22">
            <v>754456.53077259997</v>
          </cell>
          <cell r="AV22">
            <v>721045.2706402</v>
          </cell>
          <cell r="AW22">
            <v>708221.81357709994</v>
          </cell>
          <cell r="AX22">
            <v>662205.40901499998</v>
          </cell>
          <cell r="AY22">
            <v>630049.59669580008</v>
          </cell>
          <cell r="AZ22">
            <v>641424.8902892</v>
          </cell>
          <cell r="BA22">
            <v>646442.02428600006</v>
          </cell>
          <cell r="BB22">
            <v>658424.84083630005</v>
          </cell>
          <cell r="BC22">
            <v>667150.4213419999</v>
          </cell>
          <cell r="BD22">
            <v>733138.98973249993</v>
          </cell>
          <cell r="BE22">
            <v>752155.83473989996</v>
          </cell>
          <cell r="BF22">
            <v>755354.17748820002</v>
          </cell>
          <cell r="BG22">
            <v>776226.39648560004</v>
          </cell>
          <cell r="BH22">
            <v>784984.69926559995</v>
          </cell>
          <cell r="BI22">
            <v>824020.61850540002</v>
          </cell>
          <cell r="BJ22">
            <v>789090.82679959992</v>
          </cell>
          <cell r="BK22">
            <v>809097.96686500008</v>
          </cell>
          <cell r="BL22">
            <v>824924.26235990005</v>
          </cell>
          <cell r="BM22">
            <v>808739.38875539997</v>
          </cell>
          <cell r="BN22">
            <v>790193.0585865</v>
          </cell>
          <cell r="BO22">
            <v>795499.76413180004</v>
          </cell>
          <cell r="BP22">
            <v>815978.22996099992</v>
          </cell>
          <cell r="BQ22">
            <v>811074.56890670001</v>
          </cell>
          <cell r="BR22">
            <v>818078.57988640002</v>
          </cell>
          <cell r="BS22">
            <v>833089.54456920002</v>
          </cell>
          <cell r="BT22">
            <v>846801.93481350003</v>
          </cell>
          <cell r="BU22">
            <v>911203.18929619994</v>
          </cell>
          <cell r="BV22">
            <v>882171.94716720004</v>
          </cell>
          <cell r="BW22">
            <v>898474.35795229999</v>
          </cell>
          <cell r="BX22">
            <v>929981.58304660011</v>
          </cell>
          <cell r="BY22">
            <v>926275.03129259998</v>
          </cell>
          <cell r="BZ22">
            <v>951555.49737030012</v>
          </cell>
          <cell r="CA22">
            <v>976240.35910350003</v>
          </cell>
          <cell r="CB22">
            <v>1012930.1444727001</v>
          </cell>
          <cell r="CC22">
            <v>1018256.6321371001</v>
          </cell>
          <cell r="CD22">
            <v>1021964.6764847999</v>
          </cell>
          <cell r="CE22">
            <v>1045476.3894269</v>
          </cell>
          <cell r="CF22">
            <v>1074614.2150578999</v>
          </cell>
          <cell r="CG22">
            <v>1126618.9519050999</v>
          </cell>
        </row>
        <row r="23">
          <cell r="Z23">
            <v>327795.44451289997</v>
          </cell>
          <cell r="AA23">
            <v>339011.46058829996</v>
          </cell>
          <cell r="AB23">
            <v>347105.79029670003</v>
          </cell>
          <cell r="AC23">
            <v>354711.2541896</v>
          </cell>
          <cell r="AD23">
            <v>359236.98270569998</v>
          </cell>
          <cell r="AE23">
            <v>385415.69601249998</v>
          </cell>
          <cell r="AF23">
            <v>422706.61488220003</v>
          </cell>
          <cell r="AG23">
            <v>438306.21713529999</v>
          </cell>
          <cell r="AH23">
            <v>446562.8739831</v>
          </cell>
          <cell r="AI23">
            <v>467629.92594009999</v>
          </cell>
          <cell r="AJ23">
            <v>523207.63291270006</v>
          </cell>
          <cell r="AK23">
            <v>561023.55799230002</v>
          </cell>
          <cell r="AL23">
            <v>537391.74771459994</v>
          </cell>
          <cell r="AM23">
            <v>546675.47484640009</v>
          </cell>
          <cell r="AN23">
            <v>538906.06660689996</v>
          </cell>
          <cell r="AO23">
            <v>544986.08921010001</v>
          </cell>
          <cell r="AP23">
            <v>556739.79992519994</v>
          </cell>
          <cell r="AQ23">
            <v>566897.60894509999</v>
          </cell>
          <cell r="AR23">
            <v>586609.1331644</v>
          </cell>
          <cell r="AS23">
            <v>596898.87079479999</v>
          </cell>
          <cell r="AT23">
            <v>604328.87920680002</v>
          </cell>
          <cell r="AU23">
            <v>596075.03731349995</v>
          </cell>
          <cell r="AV23">
            <v>573108.86953300005</v>
          </cell>
          <cell r="AW23">
            <v>535602.40335969999</v>
          </cell>
          <cell r="AX23">
            <v>472126.77600740001</v>
          </cell>
          <cell r="AY23">
            <v>384599.0597245</v>
          </cell>
          <cell r="AZ23">
            <v>355966.32372079999</v>
          </cell>
          <cell r="BA23">
            <v>360143.8828889</v>
          </cell>
          <cell r="BB23">
            <v>368586.2677583</v>
          </cell>
          <cell r="BC23">
            <v>379575.7097531</v>
          </cell>
          <cell r="BD23">
            <v>424150.33399429999</v>
          </cell>
          <cell r="BE23">
            <v>429995.73611720005</v>
          </cell>
          <cell r="BF23">
            <v>426690.91230670002</v>
          </cell>
          <cell r="BG23">
            <v>438106.56488760002</v>
          </cell>
          <cell r="BH23">
            <v>436698.7594635</v>
          </cell>
          <cell r="BI23">
            <v>453394.8806415</v>
          </cell>
          <cell r="BJ23">
            <v>414928.08171629999</v>
          </cell>
          <cell r="BK23">
            <v>420337.19941260002</v>
          </cell>
          <cell r="BL23">
            <v>404878.27241680003</v>
          </cell>
          <cell r="BM23">
            <v>412861.5040674</v>
          </cell>
          <cell r="BN23">
            <v>418594.90198730002</v>
          </cell>
          <cell r="BO23">
            <v>431103.80396810005</v>
          </cell>
          <cell r="BP23">
            <v>445953.38023449999</v>
          </cell>
          <cell r="BQ23">
            <v>447075.69634790003</v>
          </cell>
          <cell r="BR23">
            <v>458638.76793610002</v>
          </cell>
          <cell r="BS23">
            <v>471054.18803700001</v>
          </cell>
          <cell r="BT23">
            <v>481038.42941560003</v>
          </cell>
          <cell r="BU23">
            <v>521253.567866</v>
          </cell>
          <cell r="BV23">
            <v>481161.81980599998</v>
          </cell>
          <cell r="BW23">
            <v>492620.81886550004</v>
          </cell>
          <cell r="BX23">
            <v>505961.65692320012</v>
          </cell>
          <cell r="BY23">
            <v>503640.60041259998</v>
          </cell>
          <cell r="BZ23">
            <v>523471.52708990005</v>
          </cell>
          <cell r="CA23">
            <v>544352.6817822</v>
          </cell>
          <cell r="CB23">
            <v>580744.18802680005</v>
          </cell>
          <cell r="CC23">
            <v>581770.2436831001</v>
          </cell>
          <cell r="CD23">
            <v>588758.35799679998</v>
          </cell>
          <cell r="CE23">
            <v>600503.55283900001</v>
          </cell>
          <cell r="CF23">
            <v>611396.63141939999</v>
          </cell>
          <cell r="CG23">
            <v>656085.82090199995</v>
          </cell>
        </row>
        <row r="25">
          <cell r="Z25">
            <v>82119.467504600005</v>
          </cell>
          <cell r="AA25">
            <v>91925.447694500006</v>
          </cell>
          <cell r="AB25">
            <v>94002.541275299998</v>
          </cell>
          <cell r="AC25">
            <v>88315.834621200003</v>
          </cell>
          <cell r="AD25">
            <v>88335.560068499995</v>
          </cell>
          <cell r="AE25">
            <v>91924.690785300001</v>
          </cell>
          <cell r="AF25">
            <v>99585.601807500003</v>
          </cell>
          <cell r="AG25">
            <v>99665.258354300007</v>
          </cell>
          <cell r="AH25">
            <v>110668.5409776</v>
          </cell>
          <cell r="AI25">
            <v>116566.3276434</v>
          </cell>
          <cell r="AJ25">
            <v>121936.0712018</v>
          </cell>
          <cell r="AK25">
            <v>132542.09490239999</v>
          </cell>
          <cell r="AL25">
            <v>124335.18606169999</v>
          </cell>
          <cell r="AM25">
            <v>127175.264368</v>
          </cell>
          <cell r="AN25">
            <v>119553.9366304</v>
          </cell>
        </row>
        <row r="27">
          <cell r="Z27">
            <v>52515.355000000003</v>
          </cell>
          <cell r="AA27">
            <v>49826.042999999998</v>
          </cell>
          <cell r="AB27">
            <v>51429.591999999997</v>
          </cell>
          <cell r="AC27">
            <v>52258.409</v>
          </cell>
          <cell r="AD27">
            <v>54387.663999999997</v>
          </cell>
          <cell r="AE27">
            <v>66481.180999999997</v>
          </cell>
          <cell r="AF27">
            <v>74238.937000000005</v>
          </cell>
          <cell r="AG27">
            <v>78412.001000000004</v>
          </cell>
          <cell r="AH27">
            <v>75626.373999999996</v>
          </cell>
          <cell r="AI27">
            <v>77243.463000000003</v>
          </cell>
          <cell r="AJ27">
            <v>96553.096000000005</v>
          </cell>
          <cell r="AK27">
            <v>102465.281</v>
          </cell>
          <cell r="AL27">
            <v>106761.014</v>
          </cell>
          <cell r="AM27">
            <v>107977.317</v>
          </cell>
          <cell r="AN27">
            <v>116840.933</v>
          </cell>
        </row>
        <row r="29">
          <cell r="Z29">
            <v>132179.39481939998</v>
          </cell>
          <cell r="AA29">
            <v>130633.53672059999</v>
          </cell>
          <cell r="AB29">
            <v>135822.44233709999</v>
          </cell>
          <cell r="AC29">
            <v>140134.80539200001</v>
          </cell>
          <cell r="AD29">
            <v>134700.9540193</v>
          </cell>
          <cell r="AE29">
            <v>137620.07476420002</v>
          </cell>
          <cell r="AF29">
            <v>131572.1308978</v>
          </cell>
          <cell r="AG29">
            <v>132168.70272659999</v>
          </cell>
          <cell r="AH29">
            <v>135327.6994634</v>
          </cell>
          <cell r="AI29">
            <v>132526.30736149999</v>
          </cell>
          <cell r="AJ29">
            <v>128425.9013536</v>
          </cell>
          <cell r="AK29">
            <v>130319.7085261</v>
          </cell>
          <cell r="AL29">
            <v>126025.1514628</v>
          </cell>
          <cell r="AM29">
            <v>127079.4603323</v>
          </cell>
          <cell r="AN29">
            <v>139752.09722900001</v>
          </cell>
        </row>
        <row r="45">
          <cell r="AO45">
            <v>385558.65595059999</v>
          </cell>
          <cell r="AP45">
            <v>387164.84304089996</v>
          </cell>
          <cell r="AQ45">
            <v>391620.79053929995</v>
          </cell>
          <cell r="AR45">
            <v>406895.32787040004</v>
          </cell>
          <cell r="AS45">
            <v>413308.13185900002</v>
          </cell>
          <cell r="AT45">
            <v>419066.18615810003</v>
          </cell>
          <cell r="AU45">
            <v>419265.00525010005</v>
          </cell>
          <cell r="AV45">
            <v>398809.33949399996</v>
          </cell>
          <cell r="AW45">
            <v>392168.8700394</v>
          </cell>
          <cell r="AX45">
            <v>386850.41599270003</v>
          </cell>
          <cell r="AY45">
            <v>400541.72660430003</v>
          </cell>
          <cell r="AZ45">
            <v>429129.93909539998</v>
          </cell>
          <cell r="BA45">
            <v>428829.07274959999</v>
          </cell>
          <cell r="BB45">
            <v>431604.19100039999</v>
          </cell>
          <cell r="BC45">
            <v>430800.72500389995</v>
          </cell>
          <cell r="BD45">
            <v>478413.23491120001</v>
          </cell>
          <cell r="BE45">
            <v>489741.32664129999</v>
          </cell>
          <cell r="BF45">
            <v>500941.59305909998</v>
          </cell>
          <cell r="BG45">
            <v>510715.93660409999</v>
          </cell>
          <cell r="BH45">
            <v>518413.65775339998</v>
          </cell>
          <cell r="BI45">
            <v>541347.07739270001</v>
          </cell>
          <cell r="BJ45">
            <v>536162.61514350004</v>
          </cell>
          <cell r="BK45">
            <v>554780.37194139999</v>
          </cell>
          <cell r="BL45">
            <v>577431.72956979997</v>
          </cell>
          <cell r="BM45">
            <v>556116.35580099991</v>
          </cell>
          <cell r="BN45">
            <v>535013.31391679996</v>
          </cell>
          <cell r="BO45">
            <v>530275.03896300006</v>
          </cell>
          <cell r="BP45">
            <v>540728.46123060002</v>
          </cell>
          <cell r="BQ45">
            <v>537472.10406799999</v>
          </cell>
          <cell r="BR45">
            <v>545939.12462899997</v>
          </cell>
          <cell r="BS45">
            <v>553006.73052700004</v>
          </cell>
          <cell r="BT45">
            <v>566777.27524410002</v>
          </cell>
          <cell r="BU45">
            <v>606659.98030479997</v>
          </cell>
          <cell r="BV45">
            <v>606474.24136840005</v>
          </cell>
          <cell r="BW45">
            <v>621604.78324020002</v>
          </cell>
          <cell r="BX45">
            <v>651526.46256999997</v>
          </cell>
          <cell r="BY45">
            <v>640741.13378679997</v>
          </cell>
          <cell r="BZ45">
            <v>657290.39579400001</v>
          </cell>
          <cell r="CA45">
            <v>674125.84781239997</v>
          </cell>
          <cell r="CB45">
            <v>694855.16290410003</v>
          </cell>
          <cell r="CC45">
            <v>697133.83607860003</v>
          </cell>
          <cell r="CD45">
            <v>701486.82926429994</v>
          </cell>
          <cell r="CE45">
            <v>718003.22799239994</v>
          </cell>
          <cell r="CF45">
            <v>746338.0629449999</v>
          </cell>
          <cell r="CG45">
            <v>777028.56606650003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MB-month"/>
      <sheetName val="Source-Monetary Survey"/>
      <sheetName val="Accounts of the CBA-actual EX"/>
      <sheetName val="Accounts of CBA_Program ER"/>
      <sheetName val="Monetary Survey"/>
      <sheetName val="charts"/>
      <sheetName val="Summarised Accounts of CBA_A"/>
      <sheetName val="Summarised Accounts of CBA_S"/>
      <sheetName val="RM_CBA_Q_QoQ"/>
      <sheetName val="RM_CBA_Q_YoY"/>
      <sheetName val="RM_CBA_M_MoM"/>
      <sheetName val="Chart1"/>
      <sheetName val="Cash in circulation SA"/>
      <sheetName val="Charts&gt;&gt;&gt;"/>
      <sheetName val="Chart_Cash&amp;FX"/>
      <sheetName val="Chart_Cash&amp;Dollarization"/>
      <sheetName val="Chart_IRates"/>
      <sheetName val="Panel_BM&amp;OMO Semesters"/>
      <sheetName val="Panel_MO&amp;SF Semesters"/>
      <sheetName val="Panel_BM&amp;OMO 2009"/>
      <sheetName val="Panel_MO&amp;SF 2009"/>
      <sheetName val="Panel_BM&amp;OMO 2008"/>
      <sheetName val="Panel_MO&amp;SF 2008"/>
      <sheetName val="Panel_BM&amp;OMO Q"/>
      <sheetName val="Panel_BM&amp;OMO Q_YoY"/>
      <sheetName val="Panel_MO&amp;SF Q"/>
      <sheetName val="Panel_BM&amp;OMO A"/>
      <sheetName val="Panel_MO&amp;SF A"/>
    </sheetNames>
    <sheetDataSet>
      <sheetData sheetId="0"/>
      <sheetData sheetId="1"/>
      <sheetData sheetId="2"/>
      <sheetData sheetId="3"/>
      <sheetData sheetId="4">
        <row r="22">
          <cell r="CH22">
            <v>1096422.8775498201</v>
          </cell>
          <cell r="CI22">
            <v>1113328.3903046099</v>
          </cell>
          <cell r="CJ22">
            <v>1132057.6738927299</v>
          </cell>
          <cell r="CK22">
            <v>1152488.16175678</v>
          </cell>
          <cell r="CL22">
            <v>1174707.753926184</v>
          </cell>
          <cell r="CM22">
            <v>1198538.2290830142</v>
          </cell>
          <cell r="CN22">
            <v>1216905.678722098</v>
          </cell>
          <cell r="CO22">
            <v>1242539.8326682099</v>
          </cell>
          <cell r="CP22">
            <v>1270471.5492314501</v>
          </cell>
          <cell r="CQ22">
            <v>1282426.0653339501</v>
          </cell>
          <cell r="CR22">
            <v>1299585.1462886201</v>
          </cell>
          <cell r="CS22">
            <v>1347013.5815634001</v>
          </cell>
          <cell r="CT22">
            <v>1320218.80273151</v>
          </cell>
          <cell r="CU22">
            <v>1349529.0827139399</v>
          </cell>
          <cell r="CV22">
            <v>1362738.3351787999</v>
          </cell>
          <cell r="CW22">
            <v>1367138.6076185</v>
          </cell>
          <cell r="CX22">
            <v>1387220.8668241301</v>
          </cell>
          <cell r="CY22">
            <v>1387079.7741201022</v>
          </cell>
          <cell r="CZ22">
            <v>1417137.9105776553</v>
          </cell>
          <cell r="DA22">
            <v>1430403.5999983791</v>
          </cell>
          <cell r="DB22">
            <v>1462057.4788453169</v>
          </cell>
          <cell r="DC22">
            <v>1470325.4460424499</v>
          </cell>
          <cell r="DD22">
            <v>1478585.4571773987</v>
          </cell>
          <cell r="DE22">
            <v>1552138.5128743816</v>
          </cell>
          <cell r="DF22">
            <v>1497924.422823966</v>
          </cell>
          <cell r="DG22">
            <v>1518746.9357081032</v>
          </cell>
          <cell r="DH22">
            <v>1543985.9063010602</v>
          </cell>
          <cell r="DI22">
            <v>1557121.7323155799</v>
          </cell>
          <cell r="DJ22">
            <v>1587929.1979538202</v>
          </cell>
          <cell r="DK22">
            <v>1599449.8493373003</v>
          </cell>
          <cell r="DL22">
            <v>1613869.9103125702</v>
          </cell>
          <cell r="DM22">
            <v>1616501.59037629</v>
          </cell>
          <cell r="DN22">
            <v>1610995.2903966499</v>
          </cell>
          <cell r="DO22">
            <v>1638789.4325574001</v>
          </cell>
          <cell r="DP22">
            <v>1666212.9631788703</v>
          </cell>
          <cell r="DQ22">
            <v>1689782.5049007002</v>
          </cell>
          <cell r="DR22">
            <v>1644330.0285446099</v>
          </cell>
          <cell r="DS22">
            <v>1622055.42011473</v>
          </cell>
          <cell r="DT22">
            <v>1638086.05280201</v>
          </cell>
          <cell r="DU22">
            <v>1674538.5733912801</v>
          </cell>
          <cell r="DV22">
            <v>1715429.00093211</v>
          </cell>
          <cell r="DW22">
            <v>1722673.6499736302</v>
          </cell>
          <cell r="DX22">
            <v>1802363.06264841</v>
          </cell>
          <cell r="DY22">
            <v>1773340.0823837598</v>
          </cell>
          <cell r="DZ22">
            <v>1750019.8138864799</v>
          </cell>
          <cell r="EA22">
            <v>1786750.6234858599</v>
          </cell>
          <cell r="EB22">
            <v>1802322.6404293301</v>
          </cell>
          <cell r="EC22">
            <v>1869757.09161455</v>
          </cell>
          <cell r="ED22">
            <v>1831138.7185920901</v>
          </cell>
          <cell r="EE22">
            <v>1875932.3147838968</v>
          </cell>
          <cell r="EF22">
            <v>1890039.6622474901</v>
          </cell>
          <cell r="EG22">
            <v>1887194.45878177</v>
          </cell>
          <cell r="EH22">
            <v>1890310.88284392</v>
          </cell>
          <cell r="EI22">
            <v>1942095.0396585497</v>
          </cell>
          <cell r="EJ22">
            <v>2023776.13980778</v>
          </cell>
          <cell r="EK22">
            <v>2008948.8593079499</v>
          </cell>
          <cell r="EL22">
            <v>2022018.04501274</v>
          </cell>
          <cell r="EM22">
            <v>2055025.86307444</v>
          </cell>
          <cell r="EN22">
            <v>2080707.0778451099</v>
          </cell>
          <cell r="EO22">
            <v>2180097.92016639</v>
          </cell>
          <cell r="EP22">
            <v>2161386.4445443898</v>
          </cell>
          <cell r="EQ22">
            <v>2204420.3686816497</v>
          </cell>
          <cell r="ER22">
            <v>2221946.5026588403</v>
          </cell>
          <cell r="ES22">
            <v>2231297.1335945698</v>
          </cell>
          <cell r="ET22">
            <v>2230861.1342555801</v>
          </cell>
          <cell r="EU22">
            <v>2256031.3068664102</v>
          </cell>
          <cell r="EV22">
            <v>2350930.7002761099</v>
          </cell>
        </row>
        <row r="23">
          <cell r="CH23">
            <v>616748.81410180009</v>
          </cell>
          <cell r="CI23">
            <v>627365.89545658999</v>
          </cell>
          <cell r="CJ23">
            <v>645409.98505029001</v>
          </cell>
          <cell r="CK23">
            <v>657288.93004658003</v>
          </cell>
          <cell r="CL23">
            <v>656316.79799419397</v>
          </cell>
          <cell r="CM23">
            <v>654877.52255576407</v>
          </cell>
          <cell r="CN23">
            <v>676320.36844774999</v>
          </cell>
          <cell r="CO23">
            <v>678049.9870005101</v>
          </cell>
          <cell r="CP23">
            <v>691830.48561386997</v>
          </cell>
          <cell r="CQ23">
            <v>705534.31148787006</v>
          </cell>
          <cell r="CR23">
            <v>712758.22794748005</v>
          </cell>
          <cell r="CS23">
            <v>740206.34481895005</v>
          </cell>
          <cell r="CT23">
            <v>711995.00585632003</v>
          </cell>
          <cell r="CU23">
            <v>718431.41843495006</v>
          </cell>
          <cell r="CV23">
            <v>717088.45021428005</v>
          </cell>
          <cell r="CW23">
            <v>731976.69983868999</v>
          </cell>
          <cell r="CX23">
            <v>733666.5139888</v>
          </cell>
          <cell r="CY23">
            <v>736736.9499715101</v>
          </cell>
          <cell r="CZ23">
            <v>756080.36268905003</v>
          </cell>
          <cell r="DA23">
            <v>753545.83457301999</v>
          </cell>
          <cell r="DB23">
            <v>766337.34385857999</v>
          </cell>
          <cell r="DC23">
            <v>778934.43909163005</v>
          </cell>
          <cell r="DD23">
            <v>790043.02650563011</v>
          </cell>
          <cell r="DE23">
            <v>855089.58970917994</v>
          </cell>
          <cell r="DF23">
            <v>799795.96444013994</v>
          </cell>
          <cell r="DG23">
            <v>798706.17390453001</v>
          </cell>
          <cell r="DH23">
            <v>800833.37564568012</v>
          </cell>
          <cell r="DI23">
            <v>818577.90820059995</v>
          </cell>
          <cell r="DJ23">
            <v>837649.00414331001</v>
          </cell>
          <cell r="DK23">
            <v>849970.6094090601</v>
          </cell>
          <cell r="DL23">
            <v>873214.57602912001</v>
          </cell>
          <cell r="DM23">
            <v>867987.76155341999</v>
          </cell>
          <cell r="DN23">
            <v>882201.92748317006</v>
          </cell>
          <cell r="DO23">
            <v>895610.52636791999</v>
          </cell>
          <cell r="DP23">
            <v>863579.26600326016</v>
          </cell>
          <cell r="DQ23">
            <v>833040.93837956013</v>
          </cell>
          <cell r="DR23">
            <v>787309.01800903992</v>
          </cell>
          <cell r="DS23">
            <v>764335.34123401006</v>
          </cell>
          <cell r="DT23">
            <v>792946.94223390997</v>
          </cell>
          <cell r="DU23">
            <v>816301.18720612</v>
          </cell>
          <cell r="DV23">
            <v>823849.9996673899</v>
          </cell>
          <cell r="DW23">
            <v>841256.10004871001</v>
          </cell>
          <cell r="DX23">
            <v>870885.42149498011</v>
          </cell>
          <cell r="DY23">
            <v>838137.0420966798</v>
          </cell>
          <cell r="DZ23">
            <v>830183.82703459996</v>
          </cell>
          <cell r="EA23">
            <v>857842.74927903991</v>
          </cell>
          <cell r="EB23">
            <v>847427.67074120999</v>
          </cell>
          <cell r="EC23">
            <v>894062.40842481994</v>
          </cell>
          <cell r="ED23">
            <v>844362.35798311979</v>
          </cell>
          <cell r="EE23">
            <v>866955.72969299695</v>
          </cell>
          <cell r="EF23">
            <v>881670.13778063003</v>
          </cell>
          <cell r="EG23">
            <v>906734.31457030005</v>
          </cell>
          <cell r="EH23">
            <v>921610.9539655</v>
          </cell>
          <cell r="EI23">
            <v>960630.18759835989</v>
          </cell>
          <cell r="EJ23">
            <v>986647.17375720991</v>
          </cell>
          <cell r="EK23">
            <v>984631.24573432002</v>
          </cell>
          <cell r="EL23">
            <v>999753.21324106003</v>
          </cell>
          <cell r="EM23">
            <v>1018443.6297140799</v>
          </cell>
          <cell r="EN23">
            <v>1041982.0333427398</v>
          </cell>
          <cell r="EO23">
            <v>1073730.4332219099</v>
          </cell>
          <cell r="EP23">
            <v>1047132.9798514401</v>
          </cell>
          <cell r="EQ23">
            <v>1073655.6181657198</v>
          </cell>
          <cell r="ER23">
            <v>1094593.10581029</v>
          </cell>
          <cell r="ES23">
            <v>1096747.37999033</v>
          </cell>
          <cell r="ET23">
            <v>1111413.2046046802</v>
          </cell>
          <cell r="EU23">
            <v>1141357.1435368902</v>
          </cell>
          <cell r="EV23">
            <v>1208521.5040886998</v>
          </cell>
        </row>
        <row r="45">
          <cell r="CH45">
            <v>777183.96167682018</v>
          </cell>
          <cell r="CI45">
            <v>793534.60130871006</v>
          </cell>
          <cell r="CJ45">
            <v>810560.36738663004</v>
          </cell>
          <cell r="CK45">
            <v>815067.07170758001</v>
          </cell>
          <cell r="CL45">
            <v>838660.37551958393</v>
          </cell>
          <cell r="CM45">
            <v>859352.0497558139</v>
          </cell>
          <cell r="CN45">
            <v>863667.43901199801</v>
          </cell>
          <cell r="CO45">
            <v>887198.31662711001</v>
          </cell>
          <cell r="CP45">
            <v>914640.59447924991</v>
          </cell>
          <cell r="CQ45">
            <v>921363.09105385002</v>
          </cell>
          <cell r="CR45">
            <v>938515.22145572002</v>
          </cell>
          <cell r="CS45">
            <v>962700.49209850002</v>
          </cell>
          <cell r="CT45">
            <v>968116.19769701001</v>
          </cell>
          <cell r="CU45">
            <v>1006926.4391605399</v>
          </cell>
          <cell r="CV45">
            <v>1018348.7012230001</v>
          </cell>
          <cell r="CW45">
            <v>1020683.6900382</v>
          </cell>
          <cell r="CX45">
            <v>1033516.1284231299</v>
          </cell>
          <cell r="CY45">
            <v>1034777.1305774022</v>
          </cell>
          <cell r="CZ45">
            <v>1051563.5439428552</v>
          </cell>
          <cell r="DA45">
            <v>1070682.222638079</v>
          </cell>
          <cell r="DB45">
            <v>1106213.1627045169</v>
          </cell>
          <cell r="DC45">
            <v>1110429.3138152498</v>
          </cell>
          <cell r="DD45">
            <v>1125777.3653293988</v>
          </cell>
          <cell r="DE45">
            <v>1167247.4503751816</v>
          </cell>
          <cell r="DF45">
            <v>1158986.4844059662</v>
          </cell>
          <cell r="DG45">
            <v>1187243.3547516032</v>
          </cell>
          <cell r="DH45">
            <v>1214822.5258005601</v>
          </cell>
          <cell r="DI45">
            <v>1221458.7105341798</v>
          </cell>
          <cell r="DJ45">
            <v>1245350.5965565201</v>
          </cell>
          <cell r="DK45">
            <v>1251101.8938367004</v>
          </cell>
          <cell r="DL45">
            <v>1255258.4575241702</v>
          </cell>
          <cell r="DM45">
            <v>1250673.2128046898</v>
          </cell>
          <cell r="DN45">
            <v>1249782.5204287497</v>
          </cell>
          <cell r="DO45">
            <v>1273184.4314009002</v>
          </cell>
          <cell r="DP45">
            <v>1318565.9833723702</v>
          </cell>
          <cell r="DQ45">
            <v>1340566.8606975002</v>
          </cell>
          <cell r="DR45">
            <v>1336792.0948627098</v>
          </cell>
          <cell r="DS45">
            <v>1319260.4209122302</v>
          </cell>
          <cell r="DT45">
            <v>1340330.7083947102</v>
          </cell>
          <cell r="DU45">
            <v>1366900.7604528801</v>
          </cell>
          <cell r="DV45">
            <v>1401222.9328277099</v>
          </cell>
          <cell r="DW45">
            <v>1396974.4388656304</v>
          </cell>
          <cell r="DX45">
            <v>1455711.86799701</v>
          </cell>
          <cell r="DY45">
            <v>1443696.0501367599</v>
          </cell>
          <cell r="DZ45">
            <v>1426201.0722489799</v>
          </cell>
          <cell r="EA45">
            <v>1461520.90144606</v>
          </cell>
          <cell r="EB45">
            <v>1476258.4937243299</v>
          </cell>
          <cell r="EC45">
            <v>1522848.0536876502</v>
          </cell>
          <cell r="ED45">
            <v>1522989.3429507902</v>
          </cell>
          <cell r="EE45">
            <v>1577447.1323771966</v>
          </cell>
          <cell r="EF45">
            <v>1591679.1170957901</v>
          </cell>
          <cell r="EG45">
            <v>1575546.8825665698</v>
          </cell>
          <cell r="EH45">
            <v>1572126.80127342</v>
          </cell>
          <cell r="EI45">
            <v>1608346.8511432498</v>
          </cell>
          <cell r="EJ45">
            <v>1673989.9225061799</v>
          </cell>
          <cell r="EK45">
            <v>1655970.4902920499</v>
          </cell>
          <cell r="EL45">
            <v>1665787.0652900401</v>
          </cell>
          <cell r="EM45">
            <v>1697302.5812144401</v>
          </cell>
          <cell r="EN45">
            <v>1728131.43849351</v>
          </cell>
          <cell r="EO45">
            <v>1789179.4587838901</v>
          </cell>
          <cell r="EP45">
            <v>1797930.87038779</v>
          </cell>
          <cell r="EQ45">
            <v>1843836.77659825</v>
          </cell>
          <cell r="ER45">
            <v>1843097.0034303402</v>
          </cell>
          <cell r="ES45">
            <v>1858618.0548658699</v>
          </cell>
          <cell r="ET45">
            <v>1853842.4880079802</v>
          </cell>
          <cell r="EU45">
            <v>1868384.9207195102</v>
          </cell>
          <cell r="EV45">
            <v>1943229.2904171101</v>
          </cell>
        </row>
      </sheetData>
      <sheetData sheetId="5"/>
      <sheetData sheetId="6"/>
      <sheetData sheetId="7"/>
      <sheetData sheetId="8"/>
      <sheetData sheetId="9"/>
      <sheetData sheetId="10"/>
      <sheetData sheetId="11" refreshError="1"/>
      <sheetData sheetId="12"/>
      <sheetData sheetId="13"/>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sheetName val="Loans by sectors ER adjusted"/>
      <sheetName val="Loans to mining sector -USD"/>
      <sheetName val="Banks Loans  by NACE breakdown"/>
      <sheetName val="share growth cont by sector"/>
      <sheetName val="panel"/>
      <sheetName val="Loan adjustments"/>
      <sheetName val="Loans_SA"/>
    </sheetNames>
    <sheetDataSet>
      <sheetData sheetId="0">
        <row r="29">
          <cell r="BW29">
            <v>1782515.6589415395</v>
          </cell>
          <cell r="BX29">
            <v>1809558.3938049369</v>
          </cell>
          <cell r="BY29">
            <v>1833530.8790440948</v>
          </cell>
          <cell r="BZ29">
            <v>1866631.2690778461</v>
          </cell>
          <cell r="CA29">
            <v>1872120.3597885373</v>
          </cell>
          <cell r="CB29">
            <v>1884206.4681666146</v>
          </cell>
          <cell r="CC29">
            <v>1881176.4090482702</v>
          </cell>
          <cell r="CD29">
            <v>1906192.0076916192</v>
          </cell>
          <cell r="CE29">
            <v>1930581.1223507915</v>
          </cell>
          <cell r="CF29">
            <v>1956824.9635255879</v>
          </cell>
          <cell r="CG29">
            <v>2049805.9804258959</v>
          </cell>
          <cell r="CH29">
            <v>2188356.5880691102</v>
          </cell>
          <cell r="CI29">
            <v>2134093.5021555698</v>
          </cell>
          <cell r="CJ29">
            <v>2119839.9761737804</v>
          </cell>
          <cell r="CK29">
            <v>2093272.01964355</v>
          </cell>
          <cell r="CL29">
            <v>2111507.7881617597</v>
          </cell>
          <cell r="CM29">
            <v>2089909.7376499998</v>
          </cell>
          <cell r="CN29">
            <v>2080409.2371961297</v>
          </cell>
          <cell r="CO29">
            <v>2086284.6934025099</v>
          </cell>
          <cell r="CP29">
            <v>2088992.58042417</v>
          </cell>
          <cell r="CQ29">
            <v>2065323.2336541398</v>
          </cell>
          <cell r="CR29">
            <v>2069230.48707735</v>
          </cell>
          <cell r="CS29">
            <v>2100522.2043460603</v>
          </cell>
          <cell r="CT29">
            <v>2119512.7969985404</v>
          </cell>
          <cell r="CU29">
            <v>2117466.5691930703</v>
          </cell>
          <cell r="CV29">
            <v>2167601.0278034597</v>
          </cell>
          <cell r="CW29">
            <v>2166083.5636253497</v>
          </cell>
          <cell r="CX29">
            <v>2179675.90591224</v>
          </cell>
          <cell r="CY29">
            <v>2178722.38191777</v>
          </cell>
          <cell r="CZ29">
            <v>2206081.9754687599</v>
          </cell>
          <cell r="DA29">
            <v>2202264.7804509299</v>
          </cell>
          <cell r="DB29">
            <v>2211935.5074384301</v>
          </cell>
          <cell r="DC29">
            <v>2213472.6897770599</v>
          </cell>
          <cell r="DD29">
            <v>2253732.1774769998</v>
          </cell>
          <cell r="DE29">
            <v>2319996.2133881701</v>
          </cell>
          <cell r="DF29">
            <v>2436081.4914728301</v>
          </cell>
          <cell r="DG29">
            <v>2404950.0362559599</v>
          </cell>
          <cell r="DH29">
            <v>2421664.5807759203</v>
          </cell>
          <cell r="DI29">
            <v>2449080.3029625798</v>
          </cell>
          <cell r="DJ29">
            <v>2474351.0830829898</v>
          </cell>
          <cell r="DK29">
            <v>2480709.27856853</v>
          </cell>
          <cell r="DL29">
            <v>2490670.4584916104</v>
          </cell>
          <cell r="DM29">
            <v>2506572.2042167699</v>
          </cell>
        </row>
      </sheetData>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NEW"/>
      <sheetName val="chart on repo agreements "/>
      <sheetName val="Summary of BS of  Banks "/>
      <sheetName val="Chart1"/>
      <sheetName val="Panel-structure"/>
      <sheetName val="PANEL"/>
      <sheetName val="Chart2"/>
      <sheetName val="Chart3"/>
      <sheetName val="Chart4"/>
      <sheetName val="Chart5"/>
      <sheetName val="Lending sources_Q"/>
      <sheetName val="Bookmarks"/>
      <sheetName val="Chart6"/>
      <sheetName val="Chart10"/>
      <sheetName val="Balance-banks"/>
      <sheetName val="Panel1"/>
      <sheetName val="Panel1 (2)"/>
      <sheetName val="Panel1 (3)"/>
      <sheetName val="Sheet2"/>
      <sheetName val="Panel2 (2)"/>
      <sheetName val="Panel2"/>
      <sheetName val="Sheet3"/>
      <sheetName val="Sheet1"/>
    </sheetNames>
    <sheetDataSet>
      <sheetData sheetId="0"/>
      <sheetData sheetId="1" refreshError="1"/>
      <sheetData sheetId="2">
        <row r="4">
          <cell r="AA4">
            <v>2879887098.4192915</v>
          </cell>
          <cell r="AB4">
            <v>2869947501.4454398</v>
          </cell>
          <cell r="AC4">
            <v>2969334558.2874193</v>
          </cell>
          <cell r="AD4">
            <v>2943230417.1109762</v>
          </cell>
          <cell r="AE4">
            <v>2955894659.0723305</v>
          </cell>
          <cell r="AF4">
            <v>2970555402.0089216</v>
          </cell>
          <cell r="AG4">
            <v>2989743433.0220079</v>
          </cell>
          <cell r="AH4">
            <v>2965429791.1047587</v>
          </cell>
          <cell r="AI4">
            <v>3012463743.3041511</v>
          </cell>
          <cell r="AJ4">
            <v>3034947462.0835652</v>
          </cell>
          <cell r="AK4">
            <v>3196632395.5019469</v>
          </cell>
          <cell r="AL4">
            <v>3475316076.6488605</v>
          </cell>
          <cell r="AM4">
            <v>3429657346.1777892</v>
          </cell>
          <cell r="AN4">
            <v>3399536212.2038894</v>
          </cell>
          <cell r="AO4">
            <v>3332086831.2141199</v>
          </cell>
          <cell r="AP4">
            <v>3371265284.2304196</v>
          </cell>
          <cell r="AQ4">
            <v>3385244786.0405693</v>
          </cell>
          <cell r="AR4">
            <v>3318451832.9817796</v>
          </cell>
          <cell r="AS4">
            <v>3383360206.6889405</v>
          </cell>
          <cell r="AT4">
            <v>3376452438.2726994</v>
          </cell>
          <cell r="AU4">
            <v>3376904135.3112898</v>
          </cell>
          <cell r="AV4">
            <v>3325227047.2403498</v>
          </cell>
          <cell r="AW4">
            <v>3386106376.0778499</v>
          </cell>
          <cell r="AX4">
            <v>3530142091.1112599</v>
          </cell>
          <cell r="AY4">
            <v>3519929204.2084894</v>
          </cell>
          <cell r="AZ4">
            <v>3573706823.2345805</v>
          </cell>
          <cell r="BA4">
            <v>3585460773.7684803</v>
          </cell>
          <cell r="BB4">
            <v>3558186140.0564404</v>
          </cell>
          <cell r="BC4">
            <v>3520455898.8270001</v>
          </cell>
          <cell r="BD4">
            <v>3554490636.75945</v>
          </cell>
          <cell r="BE4">
            <v>3600212787.1295094</v>
          </cell>
          <cell r="BF4">
            <v>3604974548.5554495</v>
          </cell>
          <cell r="BG4">
            <v>3659834114.7279305</v>
          </cell>
          <cell r="BH4">
            <v>3720597920.4142294</v>
          </cell>
          <cell r="BI4">
            <v>3799405149.0564899</v>
          </cell>
          <cell r="BJ4">
            <v>4093095729.7543797</v>
          </cell>
          <cell r="BK4">
            <v>3978124170.8379889</v>
          </cell>
          <cell r="BL4">
            <v>3984439838.7353592</v>
          </cell>
          <cell r="BM4">
            <v>4061864194.1777492</v>
          </cell>
          <cell r="BN4">
            <v>4025082466.3786502</v>
          </cell>
          <cell r="BO4">
            <v>4058121264.8916998</v>
          </cell>
          <cell r="BP4">
            <v>4149852243.6272697</v>
          </cell>
        </row>
      </sheetData>
      <sheetData sheetId="3" refreshError="1"/>
      <sheetData sheetId="4"/>
      <sheetData sheetId="5"/>
      <sheetData sheetId="6" refreshError="1"/>
      <sheetData sheetId="7" refreshError="1"/>
      <sheetData sheetId="8" refreshError="1"/>
      <sheetData sheetId="9" refreshError="1"/>
      <sheetData sheetId="10"/>
      <sheetData sheetId="11"/>
      <sheetData sheetId="12" refreshError="1"/>
      <sheetData sheetId="13" refreshError="1"/>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MB-month"/>
      <sheetName val="Source-Monetary Survey"/>
      <sheetName val="Accounts of the CBA-actual EX"/>
      <sheetName val="Accounts of CBA_Program ER"/>
      <sheetName val="Monetary Survey"/>
      <sheetName val="charts"/>
      <sheetName val="Summarised Accounts of CBA_A"/>
      <sheetName val="Summarised Accounts of CBA_S"/>
      <sheetName val="RM_CBA_Q_QoQ"/>
      <sheetName val="RM_CBA_Q_YoY"/>
      <sheetName val="RM_CBA_M_MoM"/>
      <sheetName val="Chart1"/>
      <sheetName val="Cash in circulation SA"/>
      <sheetName val="Charts&gt;&gt;&gt;"/>
      <sheetName val="Chart_Cash&amp;FX"/>
      <sheetName val="Chart_Cash&amp;Dollarization"/>
      <sheetName val="Chart_IRates"/>
      <sheetName val="Panel_BM&amp;OMO Semesters"/>
      <sheetName val="Panel_MO&amp;SF Semesters"/>
      <sheetName val="Panel_BM&amp;OMO 2009"/>
      <sheetName val="Panel_MO&amp;SF 2009"/>
      <sheetName val="Panel_BM&amp;OMO 2008"/>
      <sheetName val="Panel_MO&amp;SF 2008"/>
      <sheetName val="Panel_BM&amp;OMO Q"/>
      <sheetName val="Panel_BM&amp;OMO Q_YoY"/>
      <sheetName val="Panel_MO&amp;SF Q"/>
      <sheetName val="Panel_BM&amp;OMO A"/>
      <sheetName val="Panel_MO&amp;SF A"/>
    </sheetNames>
    <sheetDataSet>
      <sheetData sheetId="0"/>
      <sheetData sheetId="1"/>
      <sheetData sheetId="2"/>
      <sheetData sheetId="3">
        <row r="40">
          <cell r="DL40">
            <v>8.2054080792025985</v>
          </cell>
          <cell r="DM40">
            <v>8.6194737034650331</v>
          </cell>
          <cell r="DN40">
            <v>-0.25400078102848056</v>
          </cell>
          <cell r="DO40">
            <v>-0.51813828846675847</v>
          </cell>
          <cell r="DP40">
            <v>2.1549185752602398</v>
          </cell>
          <cell r="DQ40">
            <v>-2.4271541237065577</v>
          </cell>
          <cell r="DR40">
            <v>-0.14541502128876971</v>
          </cell>
        </row>
      </sheetData>
      <sheetData sheetId="4">
        <row r="22">
          <cell r="DF22">
            <v>1497924.422823966</v>
          </cell>
        </row>
        <row r="43">
          <cell r="DK43">
            <v>15.369618619227495</v>
          </cell>
          <cell r="DL43">
            <v>15.492296734632063</v>
          </cell>
          <cell r="DM43">
            <v>15.187122233280732</v>
          </cell>
          <cell r="DN43">
            <v>15.11926628046092</v>
          </cell>
          <cell r="DO43">
            <v>14.97893550737777</v>
          </cell>
          <cell r="DP43">
            <v>9.3078778029193785</v>
          </cell>
          <cell r="DQ43">
            <v>-2.5785194434560452</v>
          </cell>
        </row>
        <row r="44">
          <cell r="DK44">
            <v>15.310588416006254</v>
          </cell>
          <cell r="DL44">
            <v>13.882346824997626</v>
          </cell>
          <cell r="DM44">
            <v>13.010173518727285</v>
          </cell>
          <cell r="DN44">
            <v>10.186864313225158</v>
          </cell>
          <cell r="DO44">
            <v>11.457598517960108</v>
          </cell>
          <cell r="DP44">
            <v>12.689662615757769</v>
          </cell>
          <cell r="DQ44">
            <v>8.8680224660760274</v>
          </cell>
        </row>
        <row r="52">
          <cell r="DK52">
            <v>20.905444937557689</v>
          </cell>
          <cell r="DL52">
            <v>19.370670917095254</v>
          </cell>
          <cell r="DM52">
            <v>16.810869402793188</v>
          </cell>
          <cell r="DN52">
            <v>12.978453209978838</v>
          </cell>
          <cell r="DO52">
            <v>14.656954347364177</v>
          </cell>
          <cell r="DP52">
            <v>17.12493286686059</v>
          </cell>
          <cell r="DQ52">
            <v>14.848557627314534</v>
          </cell>
        </row>
        <row r="53">
          <cell r="DK53">
            <v>23.068428307658493</v>
          </cell>
          <cell r="DL53">
            <v>25.964463074010951</v>
          </cell>
          <cell r="DM53">
            <v>14.223394150609892</v>
          </cell>
          <cell r="DN53">
            <v>10.462949764544319</v>
          </cell>
          <cell r="DO53">
            <v>16.392258915862243</v>
          </cell>
          <cell r="DP53">
            <v>19.02451565053147</v>
          </cell>
          <cell r="DQ53">
            <v>13.912919443113594</v>
          </cell>
        </row>
        <row r="54">
          <cell r="DK54">
            <v>21.109485543323856</v>
          </cell>
          <cell r="DL54">
            <v>24.265294366015297</v>
          </cell>
          <cell r="DM54">
            <v>14.767620128655537</v>
          </cell>
          <cell r="DN54">
            <v>14.070041011301598</v>
          </cell>
          <cell r="DO54">
            <v>14.760384281081102</v>
          </cell>
          <cell r="DP54">
            <v>8.9548740942284866</v>
          </cell>
          <cell r="DQ54">
            <v>-7.6841451494421165</v>
          </cell>
        </row>
        <row r="55">
          <cell r="DK55">
            <v>25.289514803613542</v>
          </cell>
          <cell r="DL55">
            <v>28.011778902660438</v>
          </cell>
          <cell r="DM55">
            <v>13.620828872967621</v>
          </cell>
          <cell r="DN55">
            <v>6.3056843611334159</v>
          </cell>
          <cell r="DO55">
            <v>18.474125346785456</v>
          </cell>
          <cell r="DP55">
            <v>32.051182915959572</v>
          </cell>
          <cell r="DQ55">
            <v>43.301570756121578</v>
          </cell>
        </row>
        <row r="56">
          <cell r="DK56">
            <v>19.986751316737283</v>
          </cell>
          <cell r="DL56">
            <v>16.683978517687166</v>
          </cell>
          <cell r="DM56">
            <v>17.917699267464982</v>
          </cell>
          <cell r="DN56">
            <v>14.096677125396766</v>
          </cell>
          <cell r="DO56">
            <v>13.920339722238623</v>
          </cell>
          <cell r="DP56">
            <v>16.314684579354008</v>
          </cell>
          <cell r="DQ56">
            <v>15.242273825300501</v>
          </cell>
        </row>
        <row r="57">
          <cell r="DK57">
            <v>37.45096223774641</v>
          </cell>
          <cell r="DL57">
            <v>37.354726122988723</v>
          </cell>
          <cell r="DM57">
            <v>37.041072342221412</v>
          </cell>
          <cell r="DN57">
            <v>37.178935834145989</v>
          </cell>
          <cell r="DO57">
            <v>35.791213818120582</v>
          </cell>
          <cell r="DP57">
            <v>24.9397244473369</v>
          </cell>
          <cell r="DQ57">
            <v>10.681235085679504</v>
          </cell>
        </row>
        <row r="58">
          <cell r="DK58">
            <v>12.372272933152971</v>
          </cell>
          <cell r="DL58">
            <v>7.8246943095226413</v>
          </cell>
          <cell r="DM58">
            <v>9.7061255665693125</v>
          </cell>
          <cell r="DN58">
            <v>4.2972634297557164</v>
          </cell>
          <cell r="DO58">
            <v>4.565305971083518</v>
          </cell>
          <cell r="DP58">
            <v>12.376457557216568</v>
          </cell>
          <cell r="DQ58">
            <v>17.48655379930419</v>
          </cell>
        </row>
      </sheetData>
      <sheetData sheetId="5"/>
      <sheetData sheetId="6"/>
      <sheetData sheetId="7"/>
      <sheetData sheetId="8"/>
      <sheetData sheetId="9"/>
      <sheetData sheetId="10"/>
      <sheetData sheetId="11" refreshError="1"/>
      <sheetData sheetId="12"/>
      <sheetData sheetId="13"/>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sheetName val="Loans by sectors ER adjusted"/>
      <sheetName val="Banks Loans  by NACE breakdown"/>
      <sheetName val="share growth cont by sector"/>
      <sheetName val="panel"/>
      <sheetName val="Deposit Adjustments"/>
      <sheetName val="Deposits"/>
      <sheetName val="SA_Deposits"/>
      <sheetName val="Panel2_borrowers (2)"/>
      <sheetName val="Figure 4"/>
      <sheetName val="Chart2"/>
      <sheetName val="Chart4"/>
      <sheetName val="Published_loans"/>
      <sheetName val="Chart1"/>
      <sheetName val="Chart6"/>
      <sheetName val="Chart3"/>
      <sheetName val="Chart Agri"/>
      <sheetName val="Chart construction"/>
      <sheetName val="NPL"/>
      <sheetName val="Loans by sectors"/>
      <sheetName val="Panel1"/>
      <sheetName val="Panel2"/>
      <sheetName val="Panel1_Sectors"/>
      <sheetName val="Panel2_borrowers"/>
    </sheetNames>
    <sheetDataSet>
      <sheetData sheetId="0">
        <row r="29">
          <cell r="BW29">
            <v>1782515.6589415395</v>
          </cell>
        </row>
        <row r="36">
          <cell r="CA36">
            <v>12.123843648088229</v>
          </cell>
          <cell r="CB36">
            <v>12.830796270125155</v>
          </cell>
          <cell r="CC36">
            <v>11.258110548506849</v>
          </cell>
          <cell r="CD36">
            <v>13.039357260526007</v>
          </cell>
          <cell r="CE36">
            <v>13.025328874174846</v>
          </cell>
          <cell r="CF36">
            <v>14.131773946647863</v>
          </cell>
          <cell r="CG36">
            <v>17.296994341480577</v>
          </cell>
          <cell r="CH36">
            <v>19.93882208119755</v>
          </cell>
          <cell r="CI36">
            <v>18.7026922867094</v>
          </cell>
        </row>
        <row r="37">
          <cell r="CA37">
            <v>14.137509487621713</v>
          </cell>
          <cell r="CB37">
            <v>14.423395971584396</v>
          </cell>
          <cell r="CC37">
            <v>14.38015465406497</v>
          </cell>
          <cell r="CD37">
            <v>13.826343064964242</v>
          </cell>
          <cell r="CE37">
            <v>14.616967679051761</v>
          </cell>
          <cell r="CF37">
            <v>14.27937052085062</v>
          </cell>
          <cell r="CG37">
            <v>13.303599805199529</v>
          </cell>
          <cell r="CH37">
            <v>7.1442109680740717</v>
          </cell>
          <cell r="CI37">
            <v>7.7624967568087122</v>
          </cell>
        </row>
        <row r="38">
          <cell r="CA38">
            <v>10.951534341245139</v>
          </cell>
          <cell r="CB38">
            <v>11.889726474509722</v>
          </cell>
          <cell r="CC38">
            <v>9.4285066808609486</v>
          </cell>
          <cell r="CD38">
            <v>12.575301464844779</v>
          </cell>
          <cell r="CE38">
            <v>12.084371967892427</v>
          </cell>
          <cell r="CF38">
            <v>14.043526678539674</v>
          </cell>
          <cell r="CG38">
            <v>19.677003387022118</v>
          </cell>
          <cell r="CH38">
            <v>27.86840940325359</v>
          </cell>
          <cell r="CI38">
            <v>25.416776302828971</v>
          </cell>
        </row>
      </sheetData>
      <sheetData sheetId="1"/>
      <sheetData sheetId="2"/>
      <sheetData sheetId="3"/>
      <sheetData sheetId="4"/>
      <sheetData sheetId="5"/>
      <sheetData sheetId="6"/>
      <sheetData sheetId="7"/>
      <sheetData sheetId="8"/>
      <sheetData sheetId="9"/>
      <sheetData sheetId="10" refreshError="1"/>
      <sheetData sheetId="11" refreshError="1"/>
      <sheetData sheetId="12"/>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
      <sheetName val="Mon"/>
      <sheetName val="Fis"/>
      <sheetName val="Ext"/>
      <sheetName val="From CEIC database"/>
      <sheetName val="DMX out sheet"/>
    </sheetNames>
    <sheetDataSet>
      <sheetData sheetId="0" refreshError="1">
        <row r="12">
          <cell r="P12">
            <v>1174.5874137547296</v>
          </cell>
        </row>
        <row r="16">
          <cell r="N16">
            <v>359.35</v>
          </cell>
          <cell r="O16">
            <v>353.61</v>
          </cell>
          <cell r="P16">
            <v>362.13</v>
          </cell>
          <cell r="Q16">
            <v>356.97</v>
          </cell>
          <cell r="R16">
            <v>347.87</v>
          </cell>
          <cell r="S16">
            <v>340.95</v>
          </cell>
          <cell r="T16">
            <v>337.18</v>
          </cell>
          <cell r="U16">
            <v>333.1</v>
          </cell>
          <cell r="V16">
            <v>335.79</v>
          </cell>
          <cell r="W16">
            <v>325.08999999999997</v>
          </cell>
          <cell r="X16">
            <v>305.33</v>
          </cell>
          <cell r="Y16">
            <v>304.22000000000003</v>
          </cell>
          <cell r="AA16">
            <v>306.83999999999997</v>
          </cell>
          <cell r="AB16">
            <v>307.81</v>
          </cell>
          <cell r="AC16">
            <v>307.25</v>
          </cell>
          <cell r="AD16">
            <v>306.82</v>
          </cell>
          <cell r="AE16">
            <v>305.52</v>
          </cell>
          <cell r="AF16">
            <v>302.64999999999998</v>
          </cell>
          <cell r="AG16">
            <v>300.97000000000003</v>
          </cell>
          <cell r="AH16">
            <v>303.33</v>
          </cell>
          <cell r="AI16">
            <v>302.12</v>
          </cell>
          <cell r="AJ16">
            <v>305.10000000000002</v>
          </cell>
          <cell r="AK16">
            <v>305.42</v>
          </cell>
          <cell r="AL16">
            <v>306.73</v>
          </cell>
          <cell r="AN16">
            <v>305.20999999999998</v>
          </cell>
          <cell r="AO16">
            <v>305.83</v>
          </cell>
          <cell r="AP16">
            <v>367.77</v>
          </cell>
          <cell r="AQ16">
            <v>370.9</v>
          </cell>
          <cell r="AR16">
            <v>370.28</v>
          </cell>
          <cell r="AS16">
            <v>360.06</v>
          </cell>
          <cell r="AT16">
            <v>370.34</v>
          </cell>
          <cell r="AU16">
            <v>374.89</v>
          </cell>
          <cell r="AV16">
            <v>384.27714701036501</v>
          </cell>
          <cell r="AW16">
            <v>386.37</v>
          </cell>
          <cell r="AX16">
            <v>385.75899266148826</v>
          </cell>
          <cell r="AY16">
            <v>377.89</v>
          </cell>
          <cell r="BA16">
            <v>376.69</v>
          </cell>
          <cell r="BB16">
            <v>384.64528418831753</v>
          </cell>
          <cell r="BC16">
            <v>400.5</v>
          </cell>
          <cell r="BD16">
            <v>384.85280292990865</v>
          </cell>
          <cell r="BE16">
            <v>379.04322283593507</v>
          </cell>
          <cell r="BF16">
            <v>367.5007923532645</v>
          </cell>
          <cell r="BG16">
            <v>370.16174348442263</v>
          </cell>
          <cell r="BH16">
            <v>362.71517063194938</v>
          </cell>
          <cell r="BI16">
            <v>361.31400006640291</v>
          </cell>
          <cell r="BJ16">
            <v>358.21081859186052</v>
          </cell>
          <cell r="BK16">
            <v>359.06616320486728</v>
          </cell>
          <cell r="BL16">
            <v>363.43910512433655</v>
          </cell>
          <cell r="BN16">
            <v>363.01591137772198</v>
          </cell>
          <cell r="BO16">
            <v>367.3741019492652</v>
          </cell>
          <cell r="BP16">
            <v>369.67886666440108</v>
          </cell>
          <cell r="BQ16">
            <v>370.27348208883723</v>
          </cell>
          <cell r="BR16">
            <v>376.78367326201095</v>
          </cell>
          <cell r="BS16">
            <v>368.86403111554353</v>
          </cell>
          <cell r="BT16">
            <v>363.48236208904973</v>
          </cell>
          <cell r="BU16">
            <v>367.55319546349676</v>
          </cell>
          <cell r="BV16">
            <v>372.0541391698635</v>
          </cell>
          <cell r="BW16">
            <v>379.59242110905757</v>
          </cell>
          <cell r="BX16">
            <v>381.79502436405164</v>
          </cell>
          <cell r="BY16">
            <v>385.77354227208303</v>
          </cell>
          <cell r="CA16">
            <v>386.80556680297809</v>
          </cell>
          <cell r="CB16">
            <v>388.75130819567545</v>
          </cell>
          <cell r="CC16">
            <v>390.64177903755575</v>
          </cell>
          <cell r="CD16">
            <v>392.15741902252472</v>
          </cell>
          <cell r="CE16">
            <v>405.73728810039216</v>
          </cell>
          <cell r="CF16">
            <v>418.00745929211479</v>
          </cell>
          <cell r="CG16">
            <v>407.59755405527801</v>
          </cell>
          <cell r="CH16">
            <v>408.59</v>
          </cell>
          <cell r="CI16">
            <v>406.25080573769236</v>
          </cell>
          <cell r="CJ16">
            <v>405.46638934243566</v>
          </cell>
          <cell r="CK16">
            <v>405.31539580884538</v>
          </cell>
          <cell r="CL16">
            <v>403.58482739357913</v>
          </cell>
          <cell r="CN16">
            <v>406.63839714736417</v>
          </cell>
          <cell r="CO16">
            <v>409.22</v>
          </cell>
          <cell r="CP16">
            <v>418.58</v>
          </cell>
          <cell r="CQ16">
            <v>410.98</v>
          </cell>
          <cell r="CR16">
            <v>417.22</v>
          </cell>
          <cell r="CS16">
            <v>409.9</v>
          </cell>
          <cell r="CT16">
            <v>409.75</v>
          </cell>
          <cell r="CU16">
            <v>406.24</v>
          </cell>
          <cell r="CV16">
            <v>405.29</v>
          </cell>
          <cell r="CW16">
            <v>405.03</v>
          </cell>
          <cell r="CX16">
            <v>403.91</v>
          </cell>
          <cell r="CY16">
            <v>405.64</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EY131"/>
  <sheetViews>
    <sheetView showGridLines="0" zoomScaleNormal="100" zoomScaleSheetLayoutView="100" workbookViewId="0">
      <pane xSplit="13" ySplit="6" topLeftCell="EI88" activePane="bottomRight" state="frozen"/>
      <selection pane="topRight" activeCell="N1" sqref="N1"/>
      <selection pane="bottomLeft" activeCell="A7" sqref="A7"/>
      <selection pane="bottomRight" sqref="A1:EY92"/>
    </sheetView>
  </sheetViews>
  <sheetFormatPr defaultColWidth="9.33203125" defaultRowHeight="12.75" outlineLevelCol="1"/>
  <cols>
    <col min="1" max="1" width="70.6640625" style="86" customWidth="1"/>
    <col min="2" max="12" width="9.1640625" style="86" hidden="1" customWidth="1"/>
    <col min="13" max="13" width="12.1640625" style="86" hidden="1" customWidth="1"/>
    <col min="14" max="21" width="10.83203125" style="86" hidden="1" customWidth="1" outlineLevel="1"/>
    <col min="22" max="22" width="12" style="86" hidden="1" customWidth="1" outlineLevel="1"/>
    <col min="23" max="24" width="10.83203125" style="86" hidden="1" customWidth="1" outlineLevel="1"/>
    <col min="25" max="25" width="0.1640625" style="86" hidden="1" customWidth="1" outlineLevel="1"/>
    <col min="26" max="26" width="1.83203125" style="86" hidden="1" customWidth="1" collapsed="1"/>
    <col min="27" max="27" width="11" style="86" hidden="1" customWidth="1" outlineLevel="1"/>
    <col min="28" max="28" width="10.83203125" style="86" hidden="1" customWidth="1" outlineLevel="1"/>
    <col min="29" max="29" width="12.1640625" style="86" hidden="1" customWidth="1" outlineLevel="1"/>
    <col min="30" max="30" width="11.6640625" style="86" hidden="1" customWidth="1" outlineLevel="1"/>
    <col min="31" max="32" width="12.1640625" style="86" hidden="1" customWidth="1" outlineLevel="1"/>
    <col min="33" max="34" width="11.6640625" style="86" hidden="1" customWidth="1" outlineLevel="1"/>
    <col min="35" max="35" width="12" style="86" hidden="1" customWidth="1" outlineLevel="1"/>
    <col min="36" max="37" width="10.83203125" style="86" hidden="1" customWidth="1" outlineLevel="1"/>
    <col min="38" max="38" width="12" style="86" hidden="1" customWidth="1" outlineLevel="1"/>
    <col min="39" max="39" width="2" style="86" hidden="1" customWidth="1" collapsed="1"/>
    <col min="40" max="40" width="10.1640625" style="86" hidden="1" customWidth="1" outlineLevel="1" collapsed="1"/>
    <col min="41" max="41" width="11" style="86" hidden="1" customWidth="1" outlineLevel="1"/>
    <col min="42" max="43" width="10.83203125" style="86" hidden="1" customWidth="1" outlineLevel="1"/>
    <col min="44" max="45" width="11" style="86" hidden="1" customWidth="1" outlineLevel="1"/>
    <col min="46" max="46" width="12.33203125" style="86" hidden="1" customWidth="1" outlineLevel="1"/>
    <col min="47" max="48" width="11" style="86" hidden="1" customWidth="1" outlineLevel="1"/>
    <col min="49" max="50" width="10" style="86" hidden="1" customWidth="1" outlineLevel="1"/>
    <col min="51" max="51" width="9.83203125" style="86" hidden="1" customWidth="1" outlineLevel="1"/>
    <col min="52" max="52" width="2.5" style="86" hidden="1" customWidth="1" collapsed="1"/>
    <col min="53" max="57" width="9.83203125" style="86" hidden="1" customWidth="1" outlineLevel="1"/>
    <col min="58" max="58" width="9.6640625" style="86" hidden="1" customWidth="1" outlineLevel="1"/>
    <col min="59" max="63" width="9.33203125" style="86" hidden="1" customWidth="1" outlineLevel="1"/>
    <col min="64" max="64" width="3.33203125" style="86" hidden="1" customWidth="1" outlineLevel="1"/>
    <col min="65" max="65" width="2.83203125" style="86" hidden="1" customWidth="1" collapsed="1"/>
    <col min="66" max="66" width="7.5" style="86" hidden="1" customWidth="1" outlineLevel="1"/>
    <col min="67" max="77" width="9.33203125" style="86" hidden="1" customWidth="1" outlineLevel="1"/>
    <col min="78" max="78" width="2.6640625" style="86" hidden="1" customWidth="1" collapsed="1"/>
    <col min="79" max="90" width="9.33203125" style="86" hidden="1" customWidth="1"/>
    <col min="91" max="91" width="1.83203125" style="86" hidden="1" customWidth="1"/>
    <col min="92" max="103" width="9.33203125" style="86" hidden="1" customWidth="1"/>
    <col min="104" max="104" width="2.6640625" style="86" hidden="1" customWidth="1"/>
    <col min="105" max="113" width="9.33203125" style="86" hidden="1" customWidth="1"/>
    <col min="114" max="115" width="9.1640625" style="86" hidden="1" customWidth="1"/>
    <col min="116" max="116" width="13.5" style="86" hidden="1" customWidth="1"/>
    <col min="117" max="117" width="9.1640625" style="86" hidden="1" customWidth="1"/>
    <col min="118" max="118" width="8.83203125" style="86" hidden="1" customWidth="1"/>
    <col min="119" max="119" width="9.33203125" style="86" hidden="1" customWidth="1"/>
    <col min="120" max="120" width="10.33203125" style="86" hidden="1" customWidth="1"/>
    <col min="121" max="122" width="9.1640625" style="86" hidden="1" customWidth="1"/>
    <col min="123" max="123" width="12" style="86" hidden="1" customWidth="1"/>
    <col min="124" max="125" width="9.1640625" style="86" hidden="1" customWidth="1"/>
    <col min="126" max="126" width="12" style="86" hidden="1" customWidth="1"/>
    <col min="127" max="127" width="9.1640625" style="86" hidden="1" customWidth="1"/>
    <col min="128" max="128" width="10.33203125" style="86" hidden="1" customWidth="1"/>
    <col min="129" max="129" width="10.6640625" style="86" hidden="1" customWidth="1"/>
    <col min="130" max="130" width="3.33203125" style="86" hidden="1" customWidth="1"/>
    <col min="131" max="132" width="9.1640625" style="86" bestFit="1" customWidth="1"/>
    <col min="133" max="134" width="9.33203125" style="86"/>
    <col min="135" max="135" width="9.33203125" style="86" customWidth="1"/>
    <col min="136" max="136" width="10.6640625" style="86" bestFit="1" customWidth="1"/>
    <col min="137" max="138" width="9.33203125" style="86" customWidth="1"/>
    <col min="139" max="139" width="10.6640625" style="86" bestFit="1" customWidth="1"/>
    <col min="140" max="141" width="9.33203125" style="86" customWidth="1"/>
    <col min="142" max="142" width="10.6640625" style="86" bestFit="1" customWidth="1"/>
    <col min="143" max="143" width="1.6640625" style="86" customWidth="1"/>
    <col min="144" max="145" width="9.1640625" style="86" bestFit="1" customWidth="1"/>
    <col min="146" max="146" width="9.33203125" style="86"/>
    <col min="147" max="148" width="9.33203125" style="86" customWidth="1"/>
    <col min="149" max="150" width="10.6640625" style="86" bestFit="1" customWidth="1"/>
    <col min="151" max="155" width="9.33203125" style="86" hidden="1" customWidth="1"/>
    <col min="156" max="16384" width="9.33203125" style="86"/>
  </cols>
  <sheetData>
    <row r="1" spans="1:155" s="97" customFormat="1" ht="15.75" customHeight="1">
      <c r="A1" s="295" t="s">
        <v>67</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c r="DI1" s="295"/>
      <c r="DJ1" s="295"/>
      <c r="DK1" s="295"/>
      <c r="DL1" s="295"/>
      <c r="DM1" s="295"/>
      <c r="DN1" s="295"/>
      <c r="DO1" s="295"/>
      <c r="DP1" s="295"/>
      <c r="DQ1" s="295"/>
      <c r="DR1" s="295"/>
      <c r="DS1" s="295"/>
      <c r="DT1" s="295"/>
      <c r="DU1" s="295"/>
      <c r="DV1" s="295"/>
      <c r="DW1" s="295"/>
      <c r="DX1" s="295"/>
      <c r="DY1" s="295"/>
      <c r="DZ1" s="295"/>
      <c r="EA1" s="295"/>
      <c r="EB1" s="295"/>
      <c r="EC1" s="295"/>
      <c r="ED1" s="295"/>
      <c r="EE1" s="295"/>
      <c r="EF1" s="295"/>
      <c r="EG1" s="295"/>
      <c r="EH1" s="295"/>
      <c r="EI1" s="295"/>
      <c r="EJ1" s="295"/>
      <c r="EK1" s="295"/>
      <c r="EL1" s="295"/>
      <c r="EM1" s="295"/>
      <c r="EN1" s="295"/>
      <c r="EO1" s="295"/>
      <c r="EP1" s="295"/>
      <c r="EQ1" s="295"/>
      <c r="ER1" s="295"/>
      <c r="ES1" s="295"/>
      <c r="ET1" s="295"/>
      <c r="EU1" s="295"/>
      <c r="EV1" s="295"/>
      <c r="EW1" s="295"/>
      <c r="EX1" s="295"/>
      <c r="EY1" s="295"/>
    </row>
    <row r="2" spans="1:155" s="98" customFormat="1" ht="15.75" customHeight="1">
      <c r="A2" s="296" t="s">
        <v>16</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296"/>
      <c r="BG2" s="296"/>
      <c r="BH2" s="296"/>
      <c r="BI2" s="296"/>
      <c r="BJ2" s="296"/>
      <c r="BK2" s="296"/>
      <c r="BL2" s="296"/>
      <c r="BM2" s="296"/>
      <c r="BN2" s="296"/>
      <c r="BO2" s="296"/>
      <c r="BP2" s="296"/>
      <c r="BQ2" s="296"/>
      <c r="BR2" s="296"/>
      <c r="BS2" s="296"/>
      <c r="BT2" s="296"/>
      <c r="BU2" s="296"/>
      <c r="BV2" s="296"/>
      <c r="BW2" s="296"/>
      <c r="BX2" s="296"/>
      <c r="BY2" s="296"/>
      <c r="BZ2" s="296"/>
      <c r="CA2" s="296"/>
      <c r="CB2" s="296"/>
      <c r="CC2" s="296"/>
      <c r="CD2" s="296"/>
      <c r="CE2" s="296"/>
      <c r="CF2" s="296"/>
      <c r="CG2" s="296"/>
      <c r="CH2" s="296"/>
      <c r="CI2" s="296"/>
      <c r="CJ2" s="296"/>
      <c r="CK2" s="296"/>
      <c r="CL2" s="296"/>
      <c r="CM2" s="296"/>
      <c r="CN2" s="296"/>
      <c r="CO2" s="296"/>
      <c r="CP2" s="296"/>
      <c r="CQ2" s="296"/>
      <c r="CR2" s="296"/>
      <c r="CS2" s="296"/>
      <c r="CT2" s="296"/>
      <c r="CU2" s="296"/>
      <c r="CV2" s="296"/>
      <c r="CW2" s="296"/>
      <c r="CX2" s="296"/>
      <c r="CY2" s="296"/>
      <c r="CZ2" s="296"/>
      <c r="DA2" s="296"/>
      <c r="DB2" s="296"/>
      <c r="DC2" s="296"/>
      <c r="DD2" s="296"/>
      <c r="DE2" s="296"/>
      <c r="DF2" s="296"/>
      <c r="DG2" s="296"/>
      <c r="DH2" s="296"/>
      <c r="DI2" s="296"/>
      <c r="DJ2" s="296"/>
      <c r="DK2" s="296"/>
      <c r="DL2" s="296"/>
      <c r="DM2" s="296"/>
      <c r="DN2" s="296"/>
      <c r="DO2" s="296"/>
      <c r="DP2" s="296"/>
      <c r="DQ2" s="296"/>
      <c r="DR2" s="296"/>
      <c r="DS2" s="296"/>
      <c r="DT2" s="296"/>
      <c r="DU2" s="296"/>
      <c r="DV2" s="296"/>
      <c r="DW2" s="296"/>
      <c r="DX2" s="296"/>
      <c r="DY2" s="296"/>
      <c r="DZ2" s="296"/>
      <c r="EA2" s="296"/>
      <c r="EB2" s="296"/>
      <c r="EC2" s="296"/>
      <c r="ED2" s="296"/>
      <c r="EE2" s="296"/>
      <c r="EF2" s="296"/>
      <c r="EG2" s="296"/>
      <c r="EH2" s="296"/>
      <c r="EI2" s="296"/>
      <c r="EJ2" s="296"/>
      <c r="EK2" s="296"/>
      <c r="EL2" s="296"/>
      <c r="EM2" s="296"/>
      <c r="EN2" s="296"/>
      <c r="EO2" s="296"/>
      <c r="EP2" s="296"/>
      <c r="EQ2" s="296"/>
      <c r="ER2" s="296"/>
      <c r="ES2" s="296"/>
      <c r="ET2" s="296"/>
      <c r="EU2" s="296"/>
      <c r="EV2" s="296"/>
      <c r="EW2" s="296"/>
      <c r="EX2" s="296"/>
      <c r="EY2" s="296"/>
    </row>
    <row r="3" spans="1:155" s="99" customFormat="1" ht="6" customHeight="1">
      <c r="A3" s="231"/>
      <c r="B3" s="231"/>
      <c r="C3" s="231"/>
      <c r="D3" s="231"/>
      <c r="E3" s="231"/>
      <c r="F3" s="231"/>
      <c r="G3" s="231"/>
      <c r="H3" s="231"/>
      <c r="I3" s="231"/>
      <c r="J3" s="231"/>
      <c r="K3" s="231"/>
      <c r="L3" s="231"/>
      <c r="M3" s="231"/>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row>
    <row r="4" spans="1:155" s="102" customFormat="1" ht="6" customHeight="1">
      <c r="A4" s="100"/>
      <c r="B4" s="100"/>
      <c r="C4" s="100"/>
      <c r="D4" s="100"/>
      <c r="E4" s="100"/>
      <c r="F4" s="100"/>
      <c r="G4" s="100"/>
      <c r="H4" s="100"/>
      <c r="I4" s="100"/>
      <c r="J4" s="100"/>
      <c r="K4" s="100"/>
      <c r="L4" s="100"/>
      <c r="M4" s="100"/>
      <c r="N4" s="101"/>
      <c r="O4" s="101"/>
      <c r="P4" s="101"/>
      <c r="Q4" s="101"/>
      <c r="R4" s="101"/>
      <c r="S4" s="101"/>
      <c r="T4" s="101"/>
      <c r="U4" s="101"/>
      <c r="V4" s="101"/>
      <c r="W4" s="101"/>
      <c r="X4" s="101"/>
      <c r="Y4" s="101"/>
    </row>
    <row r="5" spans="1:155" s="103" customFormat="1">
      <c r="B5" s="104">
        <v>38718</v>
      </c>
      <c r="C5" s="104">
        <v>38749</v>
      </c>
      <c r="D5" s="104">
        <v>38777</v>
      </c>
      <c r="E5" s="104">
        <v>38808</v>
      </c>
      <c r="F5" s="104">
        <v>38838</v>
      </c>
      <c r="G5" s="104">
        <v>38869</v>
      </c>
      <c r="H5" s="104">
        <v>38899</v>
      </c>
      <c r="I5" s="104">
        <v>38930</v>
      </c>
      <c r="J5" s="104">
        <v>38961</v>
      </c>
      <c r="K5" s="104">
        <v>38991</v>
      </c>
      <c r="L5" s="104">
        <v>39022</v>
      </c>
      <c r="M5" s="104">
        <v>39052</v>
      </c>
      <c r="N5" s="104">
        <v>39083</v>
      </c>
      <c r="O5" s="104">
        <v>39114</v>
      </c>
      <c r="P5" s="104">
        <v>39142</v>
      </c>
      <c r="Q5" s="104">
        <v>39173</v>
      </c>
      <c r="R5" s="104">
        <v>39203</v>
      </c>
      <c r="S5" s="104">
        <v>39234</v>
      </c>
      <c r="T5" s="104">
        <v>39264</v>
      </c>
      <c r="U5" s="104">
        <v>39295</v>
      </c>
      <c r="V5" s="104">
        <v>39326</v>
      </c>
      <c r="W5" s="104">
        <v>39356</v>
      </c>
      <c r="X5" s="104">
        <v>39387</v>
      </c>
      <c r="Y5" s="104">
        <v>39417</v>
      </c>
      <c r="Z5" s="104"/>
      <c r="AA5" s="104">
        <v>39448</v>
      </c>
      <c r="AB5" s="104">
        <v>39479</v>
      </c>
      <c r="AC5" s="104">
        <v>39508</v>
      </c>
      <c r="AD5" s="104">
        <v>39539</v>
      </c>
      <c r="AE5" s="104">
        <v>39569</v>
      </c>
      <c r="AF5" s="104">
        <v>39600</v>
      </c>
      <c r="AG5" s="104">
        <v>39630</v>
      </c>
      <c r="AH5" s="104">
        <v>39661</v>
      </c>
      <c r="AI5" s="104">
        <v>39692</v>
      </c>
      <c r="AJ5" s="104">
        <v>39722</v>
      </c>
      <c r="AK5" s="104">
        <v>39753</v>
      </c>
      <c r="AL5" s="104">
        <v>39783</v>
      </c>
      <c r="AN5" s="104">
        <v>39814</v>
      </c>
      <c r="AO5" s="104">
        <v>39845</v>
      </c>
      <c r="AP5" s="104">
        <v>39873</v>
      </c>
      <c r="AQ5" s="104">
        <v>39904</v>
      </c>
      <c r="AR5" s="104">
        <v>39943</v>
      </c>
      <c r="AS5" s="104">
        <v>39974</v>
      </c>
      <c r="AT5" s="104">
        <v>39995</v>
      </c>
      <c r="AU5" s="104">
        <v>40026</v>
      </c>
      <c r="AV5" s="104">
        <v>40057</v>
      </c>
      <c r="AW5" s="104">
        <v>40088</v>
      </c>
      <c r="AX5" s="104">
        <v>40119</v>
      </c>
      <c r="AY5" s="104">
        <v>40150</v>
      </c>
      <c r="AZ5" s="104"/>
      <c r="BA5" s="104">
        <v>40179</v>
      </c>
      <c r="BB5" s="104">
        <v>40210</v>
      </c>
      <c r="BC5" s="104">
        <v>40238</v>
      </c>
      <c r="BD5" s="104">
        <v>40269</v>
      </c>
      <c r="BE5" s="104">
        <v>40299</v>
      </c>
      <c r="BF5" s="104">
        <v>40330</v>
      </c>
      <c r="BG5" s="104">
        <v>40360</v>
      </c>
      <c r="BH5" s="104">
        <v>40391</v>
      </c>
      <c r="BI5" s="104">
        <v>40422</v>
      </c>
      <c r="BJ5" s="104">
        <v>40452</v>
      </c>
      <c r="BK5" s="104">
        <v>40483</v>
      </c>
      <c r="BL5" s="104">
        <v>40513</v>
      </c>
      <c r="BM5" s="104"/>
      <c r="BN5" s="104">
        <v>40544</v>
      </c>
      <c r="BO5" s="104">
        <v>40575</v>
      </c>
      <c r="BP5" s="104">
        <v>40603</v>
      </c>
      <c r="BQ5" s="104">
        <v>40634</v>
      </c>
      <c r="BR5" s="104">
        <v>40664</v>
      </c>
      <c r="BS5" s="104">
        <v>40695</v>
      </c>
      <c r="BT5" s="104">
        <v>40725</v>
      </c>
      <c r="BU5" s="104">
        <v>40756</v>
      </c>
      <c r="BV5" s="104">
        <v>40787</v>
      </c>
      <c r="BW5" s="104">
        <v>40817</v>
      </c>
      <c r="BX5" s="104">
        <v>40848</v>
      </c>
      <c r="BY5" s="104">
        <v>40878</v>
      </c>
      <c r="CA5" s="104">
        <v>40909</v>
      </c>
      <c r="CB5" s="104">
        <v>40940</v>
      </c>
      <c r="CC5" s="104">
        <v>40969</v>
      </c>
      <c r="CD5" s="104">
        <v>41000</v>
      </c>
      <c r="CE5" s="104">
        <v>41030</v>
      </c>
      <c r="CF5" s="104">
        <v>41061</v>
      </c>
      <c r="CG5" s="104">
        <v>41091</v>
      </c>
      <c r="CH5" s="104">
        <v>41122</v>
      </c>
      <c r="CI5" s="104">
        <v>41153</v>
      </c>
      <c r="CJ5" s="104">
        <v>41183</v>
      </c>
      <c r="CK5" s="104">
        <v>41214</v>
      </c>
      <c r="CL5" s="104">
        <v>41244</v>
      </c>
      <c r="CN5" s="104">
        <v>41275</v>
      </c>
      <c r="CO5" s="104">
        <v>41306</v>
      </c>
      <c r="CP5" s="104">
        <v>41334</v>
      </c>
      <c r="CQ5" s="104">
        <v>41365</v>
      </c>
      <c r="CR5" s="104">
        <v>41395</v>
      </c>
      <c r="CS5" s="104">
        <v>41426</v>
      </c>
      <c r="CT5" s="104">
        <v>41456</v>
      </c>
      <c r="CU5" s="104">
        <v>41487</v>
      </c>
      <c r="CV5" s="104">
        <v>41518</v>
      </c>
      <c r="CW5" s="104">
        <v>41548</v>
      </c>
      <c r="CX5" s="104">
        <v>41579</v>
      </c>
      <c r="CY5" s="104">
        <v>41609</v>
      </c>
      <c r="DA5" s="104">
        <v>41652</v>
      </c>
      <c r="DB5" s="104">
        <v>41683</v>
      </c>
      <c r="DC5" s="204">
        <v>41711</v>
      </c>
      <c r="DD5" s="204">
        <v>41742</v>
      </c>
      <c r="DE5" s="204">
        <v>41772</v>
      </c>
      <c r="DF5" s="204">
        <v>41803</v>
      </c>
      <c r="DG5" s="204">
        <v>41833</v>
      </c>
      <c r="DH5" s="204">
        <v>41864</v>
      </c>
      <c r="DI5" s="204">
        <v>41896</v>
      </c>
      <c r="DJ5" s="204">
        <v>41926</v>
      </c>
      <c r="DK5" s="204">
        <v>41957</v>
      </c>
      <c r="DL5" s="204">
        <v>41987</v>
      </c>
      <c r="DN5" s="104">
        <v>42017</v>
      </c>
      <c r="DO5" s="104">
        <v>42048</v>
      </c>
      <c r="DP5" s="204">
        <v>42076</v>
      </c>
      <c r="DQ5" s="204">
        <v>42107</v>
      </c>
      <c r="DR5" s="204">
        <v>42137</v>
      </c>
      <c r="DS5" s="204">
        <v>42168</v>
      </c>
      <c r="DT5" s="204">
        <v>42198</v>
      </c>
      <c r="DU5" s="204">
        <v>42229</v>
      </c>
      <c r="DV5" s="204">
        <v>42261</v>
      </c>
      <c r="DW5" s="204">
        <v>42291</v>
      </c>
      <c r="DX5" s="204">
        <v>42322</v>
      </c>
      <c r="DY5" s="204">
        <v>42352</v>
      </c>
      <c r="EA5" s="104">
        <v>42382</v>
      </c>
      <c r="EB5" s="104">
        <v>42413</v>
      </c>
      <c r="EC5" s="204">
        <v>42442</v>
      </c>
      <c r="ED5" s="204">
        <v>42473</v>
      </c>
      <c r="EE5" s="204">
        <v>42503</v>
      </c>
      <c r="EF5" s="204">
        <v>42534</v>
      </c>
      <c r="EG5" s="204">
        <v>42564</v>
      </c>
      <c r="EH5" s="204">
        <v>42595</v>
      </c>
      <c r="EI5" s="204">
        <v>42627</v>
      </c>
      <c r="EJ5" s="204">
        <v>42657</v>
      </c>
      <c r="EK5" s="204">
        <v>42688</v>
      </c>
      <c r="EL5" s="204">
        <v>42718</v>
      </c>
      <c r="EN5" s="104">
        <v>42748</v>
      </c>
      <c r="EO5" s="104">
        <v>42779</v>
      </c>
      <c r="EP5" s="204">
        <v>42807</v>
      </c>
      <c r="EQ5" s="204">
        <v>42838</v>
      </c>
      <c r="ER5" s="204">
        <v>42868</v>
      </c>
      <c r="ES5" s="204">
        <v>42899</v>
      </c>
      <c r="ET5" s="204">
        <v>42929</v>
      </c>
      <c r="EU5" s="204">
        <v>42960</v>
      </c>
      <c r="EV5" s="204">
        <v>42992</v>
      </c>
      <c r="EW5" s="204">
        <v>43022</v>
      </c>
      <c r="EX5" s="204">
        <v>43053</v>
      </c>
      <c r="EY5" s="204">
        <v>43083</v>
      </c>
    </row>
    <row r="6" spans="1:155" s="105" customFormat="1" ht="6" customHeight="1"/>
    <row r="7" spans="1:155" ht="12.75" customHeight="1">
      <c r="A7" s="94"/>
      <c r="B7" s="94"/>
      <c r="C7" s="94"/>
      <c r="D7" s="94"/>
      <c r="E7" s="94"/>
      <c r="F7" s="94"/>
      <c r="G7" s="94"/>
      <c r="H7" s="94"/>
      <c r="I7" s="94"/>
      <c r="J7" s="94"/>
      <c r="K7" s="94"/>
      <c r="L7" s="94"/>
      <c r="M7" s="94"/>
      <c r="N7" s="102"/>
      <c r="O7" s="102"/>
      <c r="P7" s="102"/>
      <c r="Q7" s="102"/>
      <c r="R7" s="102"/>
      <c r="S7" s="102"/>
      <c r="T7" s="102"/>
      <c r="U7" s="102"/>
      <c r="V7" s="102"/>
      <c r="Y7" s="102"/>
      <c r="AD7" s="102"/>
      <c r="AE7" s="102"/>
      <c r="AF7" s="102"/>
      <c r="AG7" s="102"/>
      <c r="AJ7" s="102"/>
      <c r="AP7" s="106"/>
      <c r="AS7" s="106"/>
      <c r="BA7" s="106"/>
      <c r="BB7" s="106"/>
      <c r="BC7" s="106"/>
      <c r="BD7" s="106"/>
      <c r="BE7" s="106"/>
      <c r="BF7" s="106"/>
      <c r="BG7" s="106"/>
      <c r="BH7" s="106"/>
      <c r="BI7" s="106"/>
    </row>
    <row r="8" spans="1:155" ht="13.5" customHeight="1">
      <c r="A8" s="247" t="s">
        <v>116</v>
      </c>
      <c r="B8" s="94">
        <v>73480.240552780335</v>
      </c>
      <c r="C8" s="94">
        <v>93393.112290532808</v>
      </c>
      <c r="D8" s="94">
        <v>103275.24715668685</v>
      </c>
      <c r="E8" s="94">
        <v>128048.03535878846</v>
      </c>
      <c r="F8" s="94">
        <v>170800.38158060363</v>
      </c>
      <c r="G8" s="94">
        <v>240691.68306060799</v>
      </c>
      <c r="H8" s="94">
        <v>283329.86067743949</v>
      </c>
      <c r="I8" s="94">
        <v>274437.17970047006</v>
      </c>
      <c r="J8" s="94">
        <v>346622.35962209012</v>
      </c>
      <c r="K8" s="94">
        <v>312300.54317964014</v>
      </c>
      <c r="L8" s="94">
        <v>260403.35784817688</v>
      </c>
      <c r="M8" s="94">
        <v>370348.69897218287</v>
      </c>
      <c r="N8" s="87"/>
      <c r="O8" s="87"/>
      <c r="P8" s="145">
        <v>422193.70000000007</v>
      </c>
      <c r="Q8" s="33"/>
      <c r="R8" s="33"/>
      <c r="S8" s="145">
        <v>682543.29999999993</v>
      </c>
      <c r="T8" s="33"/>
      <c r="U8" s="33"/>
      <c r="V8" s="145">
        <v>1028875.6999999998</v>
      </c>
      <c r="W8" s="33"/>
      <c r="X8" s="33"/>
      <c r="Y8" s="145">
        <v>1015670.7000000001</v>
      </c>
      <c r="Z8" s="38"/>
      <c r="AA8" s="87"/>
      <c r="AB8" s="87"/>
      <c r="AC8" s="145">
        <v>509579.1</v>
      </c>
      <c r="AD8" s="145"/>
      <c r="AE8" s="145"/>
      <c r="AF8" s="145">
        <v>784606.89999999991</v>
      </c>
      <c r="AG8" s="145"/>
      <c r="AH8" s="143"/>
      <c r="AI8" s="145">
        <v>1249441.1000000001</v>
      </c>
      <c r="AJ8" s="145"/>
      <c r="AK8" s="33"/>
      <c r="AL8" s="145">
        <v>1024600.5000000001</v>
      </c>
      <c r="AM8" s="87"/>
      <c r="AN8" s="107"/>
      <c r="AO8" s="107"/>
      <c r="AP8" s="145">
        <v>493759.4</v>
      </c>
      <c r="AQ8" s="145"/>
      <c r="AR8" s="145"/>
      <c r="AS8" s="145">
        <v>659326.80000000005</v>
      </c>
      <c r="AT8" s="145"/>
      <c r="AU8" s="143"/>
      <c r="AV8" s="145">
        <v>980348.1</v>
      </c>
      <c r="AW8" s="145"/>
      <c r="AX8" s="33"/>
      <c r="AY8" s="145">
        <v>1008216.7000000001</v>
      </c>
      <c r="AZ8" s="106"/>
      <c r="BA8" s="107"/>
      <c r="BB8" s="107"/>
      <c r="BC8" s="145">
        <v>544363.5</v>
      </c>
      <c r="BD8" s="146"/>
      <c r="BE8" s="146"/>
      <c r="BF8" s="143">
        <v>735781.20000000019</v>
      </c>
      <c r="BG8" s="146"/>
      <c r="BH8" s="146"/>
      <c r="BI8" s="143">
        <v>1048796.7</v>
      </c>
      <c r="BJ8" s="146"/>
      <c r="BK8" s="146"/>
      <c r="BL8" s="145">
        <v>1131261.3</v>
      </c>
      <c r="BM8" s="38"/>
      <c r="BN8" s="106"/>
      <c r="BP8" s="143">
        <v>612136.59999999986</v>
      </c>
      <c r="BQ8" s="143"/>
      <c r="BR8" s="143"/>
      <c r="BS8" s="143">
        <v>816107.79999999993</v>
      </c>
      <c r="BT8" s="143"/>
      <c r="BU8" s="143"/>
      <c r="BV8" s="143">
        <v>1146589.8999999999</v>
      </c>
      <c r="BW8" s="143"/>
      <c r="BX8" s="143"/>
      <c r="BY8" s="143">
        <v>1203111.3000000003</v>
      </c>
      <c r="BZ8" s="143"/>
      <c r="CA8" s="143"/>
      <c r="CC8" s="212">
        <v>658957.80000000005</v>
      </c>
      <c r="CD8" s="212"/>
      <c r="CE8" s="212"/>
      <c r="CF8" s="212">
        <v>886235.4</v>
      </c>
      <c r="CG8" s="212"/>
      <c r="CH8" s="212"/>
      <c r="CI8" s="212">
        <v>1217522.3</v>
      </c>
      <c r="CJ8" s="212"/>
      <c r="CK8" s="212"/>
      <c r="CL8" s="212">
        <v>1238006.5</v>
      </c>
      <c r="CM8" s="212"/>
      <c r="CN8" s="212"/>
      <c r="CO8" s="212"/>
      <c r="CP8" s="143">
        <v>715919.1</v>
      </c>
      <c r="CQ8" s="143"/>
      <c r="CR8" s="143"/>
      <c r="CS8" s="143">
        <v>904006.4</v>
      </c>
      <c r="CT8" s="143"/>
      <c r="CU8" s="143"/>
      <c r="CV8" s="143">
        <v>1295388.1000000001</v>
      </c>
      <c r="CW8" s="143"/>
      <c r="CX8" s="143"/>
      <c r="CY8" s="143">
        <v>1360887.3</v>
      </c>
      <c r="CZ8" s="143"/>
      <c r="DA8" s="143"/>
      <c r="DB8" s="143"/>
      <c r="DC8" s="252">
        <v>743140.9</v>
      </c>
      <c r="DD8" s="212"/>
      <c r="DE8" s="212"/>
      <c r="DF8" s="212">
        <v>950975.7</v>
      </c>
      <c r="DG8" s="212"/>
      <c r="DH8" s="212"/>
      <c r="DI8" s="212">
        <v>1371235.3</v>
      </c>
      <c r="DJ8" s="212"/>
      <c r="DK8" s="212"/>
      <c r="DL8" s="212">
        <v>1463521.2</v>
      </c>
      <c r="DN8" s="263"/>
      <c r="DO8" s="263"/>
      <c r="DP8" s="265">
        <v>876541.6</v>
      </c>
      <c r="DQ8" s="265"/>
      <c r="DR8" s="265"/>
      <c r="DS8" s="265">
        <v>1102660.1000000001</v>
      </c>
      <c r="DT8" s="263"/>
      <c r="DU8" s="263"/>
      <c r="DV8" s="265">
        <v>1521653.5</v>
      </c>
      <c r="DW8" s="263"/>
      <c r="DX8" s="263"/>
      <c r="DY8" s="263">
        <v>1531233.8</v>
      </c>
      <c r="DZ8" s="263"/>
      <c r="EA8" s="263"/>
      <c r="EB8" s="263"/>
      <c r="EC8" s="263">
        <v>898570.2</v>
      </c>
      <c r="ED8" s="263"/>
      <c r="EE8" s="263"/>
      <c r="EF8" s="263">
        <v>1134118.3</v>
      </c>
      <c r="EG8" s="263"/>
      <c r="EH8" s="263"/>
      <c r="EI8" s="263">
        <v>1520472.9</v>
      </c>
      <c r="EJ8" s="263"/>
      <c r="EK8" s="263"/>
      <c r="EL8" s="263">
        <v>1514706.8</v>
      </c>
      <c r="EN8" s="263"/>
      <c r="EO8" s="263"/>
      <c r="EP8" s="288">
        <v>971903.99999999977</v>
      </c>
      <c r="EQ8" s="263"/>
      <c r="ER8" s="263"/>
      <c r="ES8" s="263">
        <v>1205103.3999999999</v>
      </c>
      <c r="ET8" s="263"/>
      <c r="EU8" s="263"/>
      <c r="EV8" s="263"/>
      <c r="EW8" s="263"/>
      <c r="EX8" s="263"/>
      <c r="EY8" s="263"/>
    </row>
    <row r="9" spans="1:155" ht="12.75" hidden="1" customHeight="1">
      <c r="A9" s="94" t="s">
        <v>19</v>
      </c>
      <c r="B9" s="94"/>
      <c r="C9" s="94"/>
      <c r="D9" s="94"/>
      <c r="E9" s="94"/>
      <c r="F9" s="94"/>
      <c r="G9" s="94"/>
      <c r="H9" s="94"/>
      <c r="I9" s="94"/>
      <c r="J9" s="94"/>
      <c r="K9" s="94"/>
      <c r="L9" s="94"/>
      <c r="M9" s="94"/>
      <c r="N9" s="87">
        <v>113850.91867553517</v>
      </c>
      <c r="O9" s="87">
        <v>138246.8628585948</v>
      </c>
      <c r="P9" s="87">
        <v>167543.01346823527</v>
      </c>
      <c r="Q9" s="87">
        <v>176684.3897792378</v>
      </c>
      <c r="R9" s="87">
        <v>234212.82388782711</v>
      </c>
      <c r="S9" s="87">
        <v>279844.95362196374</v>
      </c>
      <c r="T9" s="87">
        <v>331071.53002615948</v>
      </c>
      <c r="U9" s="87">
        <v>349090.04117107438</v>
      </c>
      <c r="V9" s="87">
        <v>345772.68403383275</v>
      </c>
      <c r="W9" s="87">
        <v>351808.51805363595</v>
      </c>
      <c r="X9" s="87">
        <v>282476.21293944819</v>
      </c>
      <c r="Y9" s="87">
        <v>427933.2</v>
      </c>
      <c r="Z9" s="38"/>
      <c r="AA9" s="87">
        <v>101207.9</v>
      </c>
      <c r="AB9" s="87">
        <f>221403.1-SUM(AA9)</f>
        <v>120195.20000000001</v>
      </c>
      <c r="AC9" s="87">
        <f>482287.6-SUM(AA9:AB9)</f>
        <v>260884.49999999997</v>
      </c>
      <c r="AD9" s="87">
        <f>696104.7-SUM(AA9:AC9)</f>
        <v>213817.09999999998</v>
      </c>
      <c r="AE9" s="87">
        <f>982149.4-SUM(AA9:AD9)</f>
        <v>286044.70000000007</v>
      </c>
      <c r="AF9" s="87">
        <f>1322732.6-SUM(AA9:AE9)</f>
        <v>340583.20000000007</v>
      </c>
      <c r="AG9" s="87">
        <f>1736136.8-SUM(AA9:AF9)</f>
        <v>413404.19999999995</v>
      </c>
      <c r="AH9" s="87">
        <f>2164567.8-SUM(AA9:AG9)</f>
        <v>428430.99999999977</v>
      </c>
      <c r="AI9" s="87">
        <f>2606136.1-SUM(AA9:AH9)</f>
        <v>441568.30000000028</v>
      </c>
      <c r="AJ9" s="87">
        <f>3010472.9-SUM(AA9:AI9)</f>
        <v>404336.79999999981</v>
      </c>
      <c r="AK9" s="87">
        <f>3290854.5-SUM(AA9:AJ9)</f>
        <v>280381.60000000009</v>
      </c>
      <c r="AL9" s="87">
        <f>3650049.8-SUM(AA9:AK9)</f>
        <v>359195.29999999981</v>
      </c>
      <c r="AM9" s="87"/>
      <c r="AN9" s="87">
        <v>132007.29999999999</v>
      </c>
      <c r="AO9" s="38">
        <f>282159.7-AN9</f>
        <v>150152.40000000002</v>
      </c>
      <c r="AP9" s="87">
        <f>465508.4-AN9-AO9</f>
        <v>183348.7</v>
      </c>
      <c r="AQ9" s="38">
        <f>638939.3-AN9-AO9-AP9</f>
        <v>173430.90000000002</v>
      </c>
      <c r="AR9" s="38">
        <f>839356.6-AN9-AO9-AP9-AQ9</f>
        <v>200417.3</v>
      </c>
      <c r="AS9" s="38">
        <f>1119369.6-AO9-AP9-AQ9-AR9-AN9</f>
        <v>280013</v>
      </c>
      <c r="AT9" s="38">
        <f>1417138.6-AN9-AO9-AP9-AQ9-AR9-AS9</f>
        <v>297769</v>
      </c>
      <c r="AU9" s="38">
        <f>1761874.9-SUM(AN9:AT9)</f>
        <v>344736.29999999981</v>
      </c>
      <c r="AV9" s="38">
        <f>2123218.4-SUM(AN9:AU9)</f>
        <v>361343.5</v>
      </c>
      <c r="AW9" s="38">
        <f>2466298.3-SUM(AN9:AV9)</f>
        <v>343079.89999999991</v>
      </c>
      <c r="AX9" s="38">
        <f>2786682.1-SUM(AN9:AW9)</f>
        <v>320383.80000000028</v>
      </c>
      <c r="AY9" s="38">
        <f>3165538.1-SUM(AN9:AX9)</f>
        <v>378856</v>
      </c>
      <c r="BA9" s="106">
        <v>167861.3</v>
      </c>
      <c r="BB9" s="106">
        <f>345483.2-BA9</f>
        <v>177621.90000000002</v>
      </c>
      <c r="BC9" s="107">
        <f>555520.1-BA9-BB9</f>
        <v>210036.89999999997</v>
      </c>
      <c r="BD9" s="107">
        <f>777558.4-BB9-BC9-BA9</f>
        <v>222038.30000000005</v>
      </c>
      <c r="BE9" s="106">
        <f>1016842.9-BA9-BB9-BC9-BD9</f>
        <v>239284.50000000006</v>
      </c>
      <c r="BF9" s="106">
        <f>1280423-BA9-BB9-BC9-BD9-BE9</f>
        <v>263580.0999999998</v>
      </c>
      <c r="BG9" s="106">
        <f>1586463.6-BB9-BC9-BD9-BE9-BF9-BA9</f>
        <v>306040.60000000044</v>
      </c>
      <c r="BH9" s="106">
        <f>2042788.8-BG9-BF9-BE9-BD9-BC9-BB9-BA9</f>
        <v>456325.1999999999</v>
      </c>
      <c r="BI9" s="106">
        <f>2386668.4-BA9-BB9-BC9-BD9-BE9-BF9-BG9-BH9</f>
        <v>343879.60000000003</v>
      </c>
      <c r="BP9" s="143"/>
      <c r="BQ9" s="143"/>
      <c r="BR9" s="143"/>
      <c r="BS9" s="143"/>
      <c r="BT9" s="143"/>
      <c r="BU9" s="143"/>
      <c r="BV9" s="143"/>
      <c r="BW9" s="143"/>
      <c r="BX9" s="143"/>
      <c r="BY9" s="143"/>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DC9" s="212"/>
      <c r="DD9" s="212"/>
      <c r="DE9" s="212"/>
      <c r="DF9" s="212"/>
      <c r="DG9" s="212"/>
      <c r="DH9" s="212"/>
      <c r="DI9" s="212"/>
      <c r="DJ9" s="212"/>
      <c r="DK9" s="212"/>
      <c r="DL9" s="212"/>
      <c r="DN9" s="263"/>
      <c r="DO9" s="263"/>
      <c r="DP9" s="263"/>
      <c r="DQ9" s="263"/>
      <c r="DR9" s="263"/>
      <c r="DS9" s="263"/>
      <c r="DT9" s="263"/>
      <c r="DU9" s="263"/>
      <c r="DV9" s="263"/>
      <c r="DW9" s="263"/>
      <c r="DX9" s="263"/>
      <c r="DY9" s="263"/>
      <c r="DZ9" s="263"/>
      <c r="EA9" s="263"/>
      <c r="EB9" s="263"/>
      <c r="EC9" s="263"/>
      <c r="ED9" s="263"/>
      <c r="EE9" s="263"/>
      <c r="EF9" s="263"/>
      <c r="EG9" s="263"/>
      <c r="EH9" s="263"/>
      <c r="EI9" s="263"/>
      <c r="EJ9" s="263"/>
      <c r="EK9" s="263"/>
      <c r="EL9" s="263"/>
      <c r="EN9" s="263"/>
      <c r="EO9" s="263"/>
      <c r="EP9" s="263"/>
      <c r="EQ9" s="263"/>
      <c r="ER9" s="263"/>
      <c r="ES9" s="263"/>
      <c r="ET9" s="263"/>
      <c r="EU9" s="263"/>
      <c r="EV9" s="263"/>
      <c r="EW9" s="263"/>
      <c r="EX9" s="263"/>
      <c r="EY9" s="263"/>
    </row>
    <row r="10" spans="1:155" ht="12.75" hidden="1" customHeight="1">
      <c r="A10" s="94" t="s">
        <v>22</v>
      </c>
      <c r="B10" s="94"/>
      <c r="C10" s="94"/>
      <c r="D10" s="94"/>
      <c r="E10" s="94"/>
      <c r="F10" s="94"/>
      <c r="G10" s="94"/>
      <c r="H10" s="94"/>
      <c r="I10" s="94"/>
      <c r="J10" s="94"/>
      <c r="K10" s="94"/>
      <c r="L10" s="94"/>
      <c r="M10" s="94"/>
      <c r="N10" s="87">
        <f>+N9/($N9+$O9+$P9)</f>
        <v>0.27130565004980856</v>
      </c>
      <c r="O10" s="87">
        <f>+O9/($N9+$O9+$P9)</f>
        <v>0.32944095165441573</v>
      </c>
      <c r="P10" s="87">
        <f>+P9/($N9+$O9+$P9)</f>
        <v>0.39925339829577561</v>
      </c>
      <c r="Q10" s="87">
        <f>+Q9/($Q9+$R9+$S9)</f>
        <v>0.25578920492529794</v>
      </c>
      <c r="R10" s="87">
        <f>+R9/($Q9+$R9+$S9)</f>
        <v>0.33907416541116558</v>
      </c>
      <c r="S10" s="87">
        <f>+S9/($Q9+$R9+$S9)</f>
        <v>0.40513662966353647</v>
      </c>
      <c r="T10" s="87">
        <f>+T9/($T9+$U9+$V9)</f>
        <v>0.32270248150705694</v>
      </c>
      <c r="U10" s="87">
        <f>+U9/($T9+$U9+$V9)</f>
        <v>0.34026550862408855</v>
      </c>
      <c r="V10" s="87">
        <f>+V9/($T9+$U9+$V9)</f>
        <v>0.33703200986885451</v>
      </c>
      <c r="W10" s="87">
        <f>+W9/($W9+$X9+$Y9)</f>
        <v>0.33120182571642781</v>
      </c>
      <c r="X10" s="87">
        <f>+X9/($W9+$X9+$Y9)</f>
        <v>0.2659305634912007</v>
      </c>
      <c r="Y10" s="87">
        <f>+Y9/($W9+$X9+$Y9)</f>
        <v>0.4028676107923716</v>
      </c>
      <c r="Z10" s="38"/>
      <c r="AA10" s="87">
        <f>+AA9/($AA9+$AB9+$AC9)</f>
        <v>0.20984968305218712</v>
      </c>
      <c r="AB10" s="87">
        <f>+AB9/($AA9+$AB9+$AC9)</f>
        <v>0.24921893077906215</v>
      </c>
      <c r="AC10" s="87">
        <f>+AC9/($AA9+$AB9+$AC9)</f>
        <v>0.54093138616875069</v>
      </c>
      <c r="AD10" s="87">
        <f>+AD9/($AD9+$AE9+$AF9)</f>
        <v>0.2544093902634913</v>
      </c>
      <c r="AE10" s="87">
        <f>+AE9/($AD9+$AE9+$AF9)</f>
        <v>0.34034910077399477</v>
      </c>
      <c r="AF10" s="87">
        <f>+AF9/($AD9+$AE9+$AF9)</f>
        <v>0.40524150896251393</v>
      </c>
      <c r="AG10" s="87">
        <f>+AG9/($AG9+$AH9+$AI9)</f>
        <v>0.32211553108589774</v>
      </c>
      <c r="AH10" s="87">
        <f>+AH9/($AG9+$AH9+$AI9)</f>
        <v>0.33382408572206618</v>
      </c>
      <c r="AI10" s="87">
        <f>+AI9/($AG9+$AH9+$AI9)</f>
        <v>0.34406038319203608</v>
      </c>
      <c r="AJ10" s="87">
        <f>+AJ9/($AJ9+$AK9+$AL9)</f>
        <v>0.38732780305498427</v>
      </c>
      <c r="AK10" s="87">
        <f>+AK9/($AJ9+$AK9+$AL9)</f>
        <v>0.26858695311691011</v>
      </c>
      <c r="AL10" s="87">
        <f>+AL9/($AJ9+$AK9+$AL9)</f>
        <v>0.34408524382810562</v>
      </c>
      <c r="AM10" s="87"/>
      <c r="AN10" s="87">
        <f>+AN9/($AN9+$AO9+$AP9)</f>
        <v>0.2835766228923044</v>
      </c>
      <c r="AO10" s="87">
        <f>+AO9/($AN9+$AO9+$AP9)</f>
        <v>0.32255572616949557</v>
      </c>
      <c r="AP10" s="87">
        <f>+AP9/($AN9+$AO9+$AP9)</f>
        <v>0.39386765093820003</v>
      </c>
      <c r="AQ10" s="87">
        <f>+AQ9/($AQ9+$AR9+$AS9)</f>
        <v>0.26524115515647667</v>
      </c>
      <c r="AR10" s="87">
        <f>+AR9/($AQ9+$AR9+$AS9)</f>
        <v>0.30651352305351653</v>
      </c>
      <c r="AS10" s="87">
        <f>+AS9/($AQ9+$AR9+$AS9)</f>
        <v>0.42824532179000685</v>
      </c>
      <c r="AT10" s="87">
        <f>+AT9/($AT9+$AU9+$AV9)</f>
        <v>0.29662734069114799</v>
      </c>
      <c r="AU10" s="87">
        <f>+AU9/($AT9+$AU9+$AV9)</f>
        <v>0.34341456601830861</v>
      </c>
      <c r="AV10" s="87">
        <f>+AV9/($AT9+$AU9+$AV9)</f>
        <v>0.3599580932905434</v>
      </c>
      <c r="AW10" s="87">
        <f>+AW9/($AW9+$AX9+$AY9)</f>
        <v>0.32915035569221213</v>
      </c>
      <c r="AX10" s="87">
        <f>+AX9/($AW9+$AX9+$AY9)</f>
        <v>0.30737575045353188</v>
      </c>
      <c r="AY10" s="87">
        <f>+AY9/($AW9+$AX9+$AY9)</f>
        <v>0.36347389385425599</v>
      </c>
      <c r="BA10" s="87">
        <f>+BA9/($BA9+$BB9+$BC9)</f>
        <v>0.30216962446543338</v>
      </c>
      <c r="BB10" s="87">
        <f>+BB9/($BA9+$BB9+$BC9)</f>
        <v>0.31973982579568233</v>
      </c>
      <c r="BC10" s="87">
        <f>+BC9/($BA9+$BB9+$BC9)</f>
        <v>0.37809054973888429</v>
      </c>
      <c r="BD10" s="87">
        <f>+BD9/($BD9+$BE9+$BF9)</f>
        <v>0.30630074731388174</v>
      </c>
      <c r="BE10" s="87">
        <f>+BE9/($BD9+$BE9+$BF9)</f>
        <v>0.33009179574257475</v>
      </c>
      <c r="BF10" s="87">
        <f>+BF9/($BD9+$BE9+$BF9)</f>
        <v>0.36360745694354352</v>
      </c>
      <c r="BG10" s="87">
        <f>+BG9/($BG9+$BH9+$BI9)</f>
        <v>0.27664802041210779</v>
      </c>
      <c r="BH10" s="87">
        <f>+BH9/($BG9+$BH9+$BI9)</f>
        <v>0.41249907118257823</v>
      </c>
      <c r="BI10" s="87">
        <f>+BI9/($BG9+$BH9+$BI9)</f>
        <v>0.31085290840531399</v>
      </c>
      <c r="BJ10" s="87">
        <f>+BJ9/($AW9+$AX9+$AY9)</f>
        <v>0</v>
      </c>
      <c r="BK10" s="87">
        <f>+BK9/($AW9+$AX9+$AY9)</f>
        <v>0</v>
      </c>
      <c r="BL10" s="87">
        <f>+BL9/($AW9+$AX9+$AY9)</f>
        <v>0</v>
      </c>
      <c r="BM10" s="87"/>
      <c r="BP10" s="143"/>
      <c r="BQ10" s="143"/>
      <c r="BR10" s="143"/>
      <c r="BS10" s="143"/>
      <c r="BT10" s="143"/>
      <c r="BU10" s="143"/>
      <c r="BV10" s="143"/>
      <c r="BW10" s="143"/>
      <c r="BX10" s="143"/>
      <c r="BY10" s="143"/>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DC10" s="212"/>
      <c r="DD10" s="212"/>
      <c r="DE10" s="212"/>
      <c r="DF10" s="212"/>
      <c r="DG10" s="212"/>
      <c r="DH10" s="212"/>
      <c r="DI10" s="212"/>
      <c r="DJ10" s="212"/>
      <c r="DK10" s="212"/>
      <c r="DL10" s="212"/>
      <c r="DN10" s="263"/>
      <c r="DO10" s="263"/>
      <c r="DP10" s="263"/>
      <c r="DQ10" s="263"/>
      <c r="DR10" s="263"/>
      <c r="DS10" s="263"/>
      <c r="DT10" s="263"/>
      <c r="DU10" s="263"/>
      <c r="DV10" s="263"/>
      <c r="DW10" s="263"/>
      <c r="DX10" s="263"/>
      <c r="DY10" s="263"/>
      <c r="DZ10" s="263"/>
      <c r="EA10" s="263"/>
      <c r="EB10" s="263"/>
      <c r="EC10" s="263"/>
      <c r="ED10" s="263"/>
      <c r="EE10" s="263"/>
      <c r="EF10" s="263"/>
      <c r="EG10" s="263"/>
      <c r="EH10" s="263"/>
      <c r="EI10" s="263"/>
      <c r="EJ10" s="263"/>
      <c r="EK10" s="263"/>
      <c r="EL10" s="263"/>
      <c r="EN10" s="263"/>
      <c r="EO10" s="263"/>
      <c r="EP10" s="263"/>
      <c r="EQ10" s="263"/>
      <c r="ER10" s="263"/>
      <c r="ES10" s="263"/>
      <c r="ET10" s="263"/>
      <c r="EU10" s="263"/>
      <c r="EV10" s="263"/>
      <c r="EW10" s="263"/>
      <c r="EX10" s="263"/>
      <c r="EY10" s="263"/>
    </row>
    <row r="11" spans="1:155" ht="12.75" hidden="1" customHeight="1">
      <c r="A11" s="94" t="s">
        <v>20</v>
      </c>
      <c r="B11" s="94"/>
      <c r="C11" s="94"/>
      <c r="D11" s="94"/>
      <c r="E11" s="94"/>
      <c r="F11" s="94"/>
      <c r="G11" s="94"/>
      <c r="H11" s="94"/>
      <c r="I11" s="94"/>
      <c r="J11" s="94"/>
      <c r="K11" s="94"/>
      <c r="L11" s="94"/>
      <c r="M11" s="94"/>
      <c r="N11" s="87"/>
      <c r="O11" s="87"/>
      <c r="P11" s="87">
        <v>422193.7</v>
      </c>
      <c r="Q11" s="87"/>
      <c r="R11" s="87"/>
      <c r="S11" s="87">
        <v>682543.3</v>
      </c>
      <c r="T11" s="87"/>
      <c r="U11" s="87"/>
      <c r="V11" s="87">
        <v>1028875.7</v>
      </c>
      <c r="W11" s="87"/>
      <c r="X11" s="87"/>
      <c r="Y11" s="87">
        <v>1015670.7</v>
      </c>
      <c r="Z11" s="38"/>
      <c r="AA11" s="87"/>
      <c r="AB11" s="87"/>
      <c r="AC11" s="86">
        <v>509579.1</v>
      </c>
      <c r="AD11" s="87"/>
      <c r="AE11" s="87"/>
      <c r="AF11" s="86">
        <v>784606.89999999991</v>
      </c>
      <c r="AG11" s="87"/>
      <c r="AH11" s="87"/>
      <c r="AI11" s="86">
        <v>1249441.1000000001</v>
      </c>
      <c r="AJ11" s="87"/>
      <c r="AK11" s="87"/>
      <c r="AL11" s="86">
        <v>1024600.5000000001</v>
      </c>
      <c r="AM11" s="87"/>
      <c r="AN11" s="87"/>
      <c r="AO11" s="38"/>
      <c r="AP11" s="38">
        <v>488771</v>
      </c>
      <c r="AS11" s="86">
        <v>655693</v>
      </c>
      <c r="AV11" s="86">
        <v>971576.30000000016</v>
      </c>
      <c r="AY11" s="86">
        <v>986774.79999999993</v>
      </c>
      <c r="BC11" s="86">
        <v>555520.1</v>
      </c>
      <c r="BF11" s="86">
        <v>724902.89999999991</v>
      </c>
      <c r="BI11" s="86">
        <v>1053813.3999999999</v>
      </c>
      <c r="BP11" s="143"/>
      <c r="BQ11" s="143"/>
      <c r="BR11" s="143"/>
      <c r="BS11" s="143"/>
      <c r="BT11" s="143"/>
      <c r="BU11" s="143"/>
      <c r="BV11" s="143"/>
      <c r="BW11" s="143"/>
      <c r="BX11" s="143"/>
      <c r="BY11" s="143"/>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DC11" s="212"/>
      <c r="DD11" s="212"/>
      <c r="DE11" s="212"/>
      <c r="DF11" s="212"/>
      <c r="DG11" s="212"/>
      <c r="DH11" s="212"/>
      <c r="DI11" s="212"/>
      <c r="DJ11" s="212"/>
      <c r="DK11" s="212"/>
      <c r="DL11" s="212"/>
      <c r="DN11" s="263"/>
      <c r="DO11" s="263"/>
      <c r="DP11" s="263"/>
      <c r="DQ11" s="263"/>
      <c r="DR11" s="263"/>
      <c r="DS11" s="263"/>
      <c r="DT11" s="263"/>
      <c r="DU11" s="263"/>
      <c r="DV11" s="263"/>
      <c r="DW11" s="263"/>
      <c r="DX11" s="263"/>
      <c r="DY11" s="263"/>
      <c r="DZ11" s="263"/>
      <c r="EA11" s="263"/>
      <c r="EB11" s="263"/>
      <c r="EC11" s="263"/>
      <c r="ED11" s="263"/>
      <c r="EE11" s="263"/>
      <c r="EF11" s="263"/>
      <c r="EG11" s="263"/>
      <c r="EH11" s="263"/>
      <c r="EI11" s="263"/>
      <c r="EJ11" s="263"/>
      <c r="EK11" s="263"/>
      <c r="EL11" s="263"/>
      <c r="EN11" s="263"/>
      <c r="EO11" s="263"/>
      <c r="EP11" s="263"/>
      <c r="EQ11" s="263"/>
      <c r="ER11" s="263"/>
      <c r="ES11" s="263"/>
      <c r="ET11" s="263"/>
      <c r="EU11" s="263"/>
      <c r="EV11" s="263"/>
      <c r="EW11" s="263"/>
      <c r="EX11" s="263"/>
      <c r="EY11" s="263"/>
    </row>
    <row r="12" spans="1:155" ht="12.75" customHeight="1">
      <c r="A12" s="94" t="s">
        <v>61</v>
      </c>
      <c r="B12" s="94"/>
      <c r="C12" s="94"/>
      <c r="D12" s="94"/>
      <c r="E12" s="94"/>
      <c r="F12" s="94"/>
      <c r="G12" s="94"/>
      <c r="H12" s="94"/>
      <c r="I12" s="94"/>
      <c r="J12" s="94"/>
      <c r="K12" s="94"/>
      <c r="L12" s="94"/>
      <c r="M12" s="94"/>
      <c r="N12" s="87"/>
      <c r="O12" s="87"/>
      <c r="P12" s="33">
        <f>P8/AVERAGE(N17:P17)</f>
        <v>1174.5874137547296</v>
      </c>
      <c r="Q12" s="143"/>
      <c r="R12" s="143"/>
      <c r="S12" s="33">
        <f>S8/AVERAGE(Q17:S17)</f>
        <v>1928.2699877577925</v>
      </c>
      <c r="T12" s="143"/>
      <c r="U12" s="143"/>
      <c r="V12" s="33">
        <f>V8/AVERAGE(T17:V17)</f>
        <v>3045.5427285913029</v>
      </c>
      <c r="W12" s="143"/>
      <c r="X12" s="143"/>
      <c r="Y12" s="33">
        <f>Y8/AVERAGE(W17:Y17)</f>
        <v>3203.0755500238101</v>
      </c>
      <c r="AA12" s="87"/>
      <c r="AB12" s="87"/>
      <c r="AC12" s="33">
        <f>AC8/AVERAGE(AA17:AC17)</f>
        <v>1654.8064747224457</v>
      </c>
      <c r="AD12" s="143"/>
      <c r="AE12" s="143"/>
      <c r="AF12" s="33">
        <f>AF8/AVERAGE(AD17:AF17)</f>
        <v>2554.5200512639881</v>
      </c>
      <c r="AG12" s="143"/>
      <c r="AH12" s="143"/>
      <c r="AI12" s="33">
        <f>AI8/AVERAGE(AG17:AI17)</f>
        <v>4133.5266483607375</v>
      </c>
      <c r="AJ12" s="143"/>
      <c r="AK12" s="143"/>
      <c r="AL12" s="33">
        <f>AL8/AVERAGE(AJ17:AL17)</f>
        <v>3342.406393429821</v>
      </c>
      <c r="AN12" s="87"/>
      <c r="AO12" s="87"/>
      <c r="AP12" s="33">
        <f>AP8/AVERAGE(AN17:AP17)</f>
        <v>1516.0191571861546</v>
      </c>
      <c r="AQ12" s="143"/>
      <c r="AR12" s="143"/>
      <c r="AS12" s="33">
        <f>AS8/AVERAGE(AQ17:AS17)</f>
        <v>1779.2393631375373</v>
      </c>
      <c r="AT12" s="143"/>
      <c r="AU12" s="143"/>
      <c r="AV12" s="33">
        <f>AV8/AVERAGE(AT17:AV17)</f>
        <v>2630.8182159725202</v>
      </c>
      <c r="AW12" s="143"/>
      <c r="AX12" s="143"/>
      <c r="AY12" s="33">
        <f>AY8/AVERAGE(AW17:AY17)</f>
        <v>2622.5365680247633</v>
      </c>
      <c r="AZ12" s="87"/>
      <c r="BA12" s="87"/>
      <c r="BB12" s="87"/>
      <c r="BC12" s="33">
        <f>BC8/AVERAGE(BA17:BC17)</f>
        <v>1417.2811059907835</v>
      </c>
      <c r="BD12" s="143"/>
      <c r="BE12" s="143"/>
      <c r="BF12" s="33">
        <f>BF8/AVERAGE(BD17:BF17)</f>
        <v>1914.0685321418816</v>
      </c>
      <c r="BG12" s="143"/>
      <c r="BH12" s="143"/>
      <c r="BI12" s="33">
        <f>BI8/AVERAGE(BG17:BI17)</f>
        <v>2869.818241182672</v>
      </c>
      <c r="BJ12" s="143"/>
      <c r="BK12" s="143"/>
      <c r="BL12" s="33">
        <f>BL8/AVERAGE(BJ17:BL17)</f>
        <v>3136.1642993029736</v>
      </c>
      <c r="BM12" s="87"/>
      <c r="BN12" s="87"/>
      <c r="BO12" s="111"/>
      <c r="BP12" s="33">
        <f>BP8/AVERAGE(BN17:BP17)</f>
        <v>1671.9710718773122</v>
      </c>
      <c r="BQ12" s="143"/>
      <c r="BR12" s="143"/>
      <c r="BS12" s="33">
        <f>BS8/AVERAGE(BQ17:BS17)</f>
        <v>2181.0530308598395</v>
      </c>
      <c r="BT12" s="143"/>
      <c r="BU12" s="143"/>
      <c r="BV12" s="33">
        <f>BV8/AVERAGE(BT17:BV17)</f>
        <v>3108.6267988723066</v>
      </c>
      <c r="BW12" s="143"/>
      <c r="BX12" s="143"/>
      <c r="BY12" s="33">
        <f>BY8/AVERAGE(BW17:BY17)</f>
        <v>3159.1864538542036</v>
      </c>
      <c r="CC12" s="222">
        <f>CC8/AVERAGE(CA17:CC17)</f>
        <v>1696.5706065241659</v>
      </c>
      <c r="CD12" s="212"/>
      <c r="CE12" s="212"/>
      <c r="CF12" s="222">
        <f>CF8/AVERAGE(CD17:CF17)</f>
        <v>2207.4666180165514</v>
      </c>
      <c r="CG12" s="212"/>
      <c r="CH12" s="212"/>
      <c r="CI12" s="222">
        <f>CI8/AVERAGE(CG17:CI17)</f>
        <v>2964.5460626166482</v>
      </c>
      <c r="CJ12" s="212"/>
      <c r="CK12" s="212"/>
      <c r="CL12" s="222">
        <f>CL8/AVERAGE(CJ17:CL17)</f>
        <v>3045.2323009769052</v>
      </c>
      <c r="CM12" s="212"/>
      <c r="CN12" s="212"/>
      <c r="CO12" s="212"/>
      <c r="CP12" s="33">
        <f>CP8/AVERAGE(CN17:CP17)</f>
        <v>1748.7033039108342</v>
      </c>
      <c r="CQ12" s="143"/>
      <c r="CR12" s="143"/>
      <c r="CS12" s="33">
        <f>CS8/AVERAGE(CQ17:CS17)</f>
        <v>2178.6388343114063</v>
      </c>
      <c r="CT12" s="143"/>
      <c r="CU12" s="143"/>
      <c r="CV12" s="33">
        <f>CV8/AVERAGE(CT17:CV17)</f>
        <v>3170.3275420406071</v>
      </c>
      <c r="CW12" s="143"/>
      <c r="CX12" s="143"/>
      <c r="CY12" s="33">
        <f>CY8/AVERAGE(CW17:CY17)</f>
        <v>3356.1605149333936</v>
      </c>
      <c r="CZ12" s="143"/>
      <c r="DA12" s="143"/>
      <c r="DB12" s="143"/>
      <c r="DC12" s="222">
        <f>DC8/AVERAGE(DA17:DC17)</f>
        <v>1807.8920150646479</v>
      </c>
      <c r="DD12" s="212"/>
      <c r="DE12" s="212"/>
      <c r="DF12" s="222">
        <f>DF8/AVERAGE(DD17:DF17)</f>
        <v>2303.441201404868</v>
      </c>
      <c r="DG12" s="212"/>
      <c r="DH12" s="212"/>
      <c r="DI12" s="222">
        <f>DI8/AVERAGE(DG17:DI17)</f>
        <v>3357.1743011723947</v>
      </c>
      <c r="DJ12" s="212"/>
      <c r="DK12" s="212"/>
      <c r="DL12" s="222">
        <f>DL8/AVERAGE(DJ17:DL17)</f>
        <v>3396.081756436613</v>
      </c>
      <c r="DN12" s="263"/>
      <c r="DO12" s="263"/>
      <c r="DP12" s="264">
        <f>DP8/AVERAGE(DN17:DP17)</f>
        <v>1836.4317456034285</v>
      </c>
      <c r="DQ12" s="263"/>
      <c r="DR12" s="263"/>
      <c r="DS12" s="264">
        <f>DS8/AVERAGE(DQ17:DS17)</f>
        <v>2314.2855815031953</v>
      </c>
      <c r="DT12" s="263"/>
      <c r="DU12" s="263"/>
      <c r="DV12" s="264">
        <f>DV8/AVERAGE(DT17:DV17)</f>
        <v>3174.3691439311456</v>
      </c>
      <c r="DW12" s="263"/>
      <c r="DX12" s="263"/>
      <c r="DY12" s="264">
        <f>DY8/AVERAGE(DW17:DY17)</f>
        <v>3212.4766299289495</v>
      </c>
      <c r="DZ12" s="263"/>
      <c r="EA12" s="263"/>
      <c r="EB12" s="263"/>
      <c r="EC12" s="264">
        <f>EC8/AVERAGE(EA17:EC17)</f>
        <v>1838.8077843943763</v>
      </c>
      <c r="ED12" s="263"/>
      <c r="EE12" s="263"/>
      <c r="EF12" s="264">
        <f>EF8/AVERAGE(ED17:EF17)</f>
        <v>2367.4074697149804</v>
      </c>
      <c r="EG12" s="263"/>
      <c r="EH12" s="263"/>
      <c r="EI12" s="264">
        <f>EI8/AVERAGE(EG17:EI17)</f>
        <v>3198.5852832702508</v>
      </c>
      <c r="EJ12" s="263"/>
      <c r="EK12" s="263"/>
      <c r="EL12" s="264">
        <f>EL8/AVERAGE(EJ17:EL17)</f>
        <v>3163.0966062348384</v>
      </c>
      <c r="EN12" s="263"/>
      <c r="EO12" s="263"/>
      <c r="EP12" s="264">
        <f>EP8/AVERAGE(EN17:EP17)</f>
        <v>2000.700144690918</v>
      </c>
      <c r="EQ12" s="263"/>
      <c r="ER12" s="263"/>
      <c r="ES12" s="264">
        <f>ES8/AVERAGE(EQ17:ES17)</f>
        <v>2492.2860885150972</v>
      </c>
      <c r="ET12" s="263"/>
      <c r="EU12" s="263"/>
      <c r="EV12" s="263"/>
      <c r="EW12" s="263"/>
      <c r="EX12" s="263"/>
      <c r="EY12" s="263"/>
    </row>
    <row r="13" spans="1:155" ht="12.75" customHeight="1">
      <c r="A13" s="247" t="s">
        <v>114</v>
      </c>
      <c r="B13" s="94"/>
      <c r="C13" s="94"/>
      <c r="D13" s="94"/>
      <c r="E13" s="94"/>
      <c r="F13" s="94"/>
      <c r="G13" s="94"/>
      <c r="H13" s="94"/>
      <c r="I13" s="94"/>
      <c r="J13" s="94"/>
      <c r="K13" s="94"/>
      <c r="L13" s="94"/>
      <c r="M13" s="94"/>
      <c r="N13" s="38">
        <v>5.1476545296364762</v>
      </c>
      <c r="O13" s="38">
        <v>5.0967769806148544</v>
      </c>
      <c r="P13" s="38">
        <v>4.3715233636624955</v>
      </c>
      <c r="Q13" s="38">
        <v>4.1796450680525385</v>
      </c>
      <c r="R13" s="38">
        <v>3.8711509081081523</v>
      </c>
      <c r="S13" s="38">
        <v>4.8113910850224846</v>
      </c>
      <c r="T13" s="38">
        <v>2.1526353193998466</v>
      </c>
      <c r="U13" s="38">
        <v>1.5777502514866659</v>
      </c>
      <c r="V13" s="38">
        <v>2.5965842560151291</v>
      </c>
      <c r="W13" s="38">
        <v>5.7</v>
      </c>
      <c r="X13" s="87">
        <v>6.8</v>
      </c>
      <c r="Y13" s="87">
        <v>6.6</v>
      </c>
      <c r="AA13" s="87">
        <v>6.6</v>
      </c>
      <c r="AB13" s="87">
        <v>7.5</v>
      </c>
      <c r="AC13" s="87">
        <v>9.6</v>
      </c>
      <c r="AD13" s="87">
        <v>10.7</v>
      </c>
      <c r="AE13" s="87">
        <v>9.9</v>
      </c>
      <c r="AF13" s="87">
        <v>9.6</v>
      </c>
      <c r="AG13" s="87">
        <v>10.7</v>
      </c>
      <c r="AH13" s="87">
        <v>11.5</v>
      </c>
      <c r="AI13" s="87">
        <v>11.3</v>
      </c>
      <c r="AJ13" s="87">
        <v>8.6</v>
      </c>
      <c r="AK13" s="87">
        <v>6.6</v>
      </c>
      <c r="AL13" s="87">
        <v>5.2</v>
      </c>
      <c r="AN13" s="38">
        <v>4</v>
      </c>
      <c r="AO13" s="38">
        <v>1</v>
      </c>
      <c r="AP13" s="87">
        <v>1</v>
      </c>
      <c r="AQ13" s="86">
        <v>3.1</v>
      </c>
      <c r="AR13" s="86">
        <v>3.4</v>
      </c>
      <c r="AS13" s="87">
        <v>3.6</v>
      </c>
      <c r="AT13" s="86">
        <v>3.1</v>
      </c>
      <c r="AU13" s="86">
        <v>3.5</v>
      </c>
      <c r="AV13" s="86">
        <v>3.7</v>
      </c>
      <c r="AW13" s="86">
        <v>3.5</v>
      </c>
      <c r="AX13" s="86">
        <v>4.5999999999999996</v>
      </c>
      <c r="AY13" s="86">
        <v>6.5</v>
      </c>
      <c r="BA13" s="86">
        <v>7</v>
      </c>
      <c r="BB13" s="86">
        <v>9.4</v>
      </c>
      <c r="BC13" s="86">
        <v>8.8000000000000007</v>
      </c>
      <c r="BD13" s="38">
        <v>6.7652549655201391</v>
      </c>
      <c r="BE13" s="86">
        <v>6.1</v>
      </c>
      <c r="BF13" s="86">
        <v>5.6</v>
      </c>
      <c r="BG13" s="38">
        <v>7.6552154191743105</v>
      </c>
      <c r="BH13" s="38">
        <v>9.4927040357666304</v>
      </c>
      <c r="BI13" s="38">
        <v>8.575458924327247</v>
      </c>
      <c r="BJ13" s="86">
        <v>9.1</v>
      </c>
      <c r="BK13" s="38">
        <v>9.51427208533471</v>
      </c>
      <c r="BL13" s="38">
        <v>9.3532058944062015</v>
      </c>
      <c r="BM13" s="38"/>
      <c r="BN13" s="38">
        <v>10.271446388983179</v>
      </c>
      <c r="BO13" s="38">
        <v>11.376409248506832</v>
      </c>
      <c r="BP13" s="38">
        <v>11.525864189368406</v>
      </c>
      <c r="BQ13" s="38">
        <v>8.8541042321151959</v>
      </c>
      <c r="BR13" s="38">
        <v>9.0036999687470001</v>
      </c>
      <c r="BS13" s="38">
        <v>8.5535982584034276</v>
      </c>
      <c r="BT13" s="38">
        <v>6.3</v>
      </c>
      <c r="BU13" s="38">
        <v>4.7826427813572465</v>
      </c>
      <c r="BV13" s="38">
        <v>6.222937655047394</v>
      </c>
      <c r="BW13" s="38">
        <v>5.7315322006213396</v>
      </c>
      <c r="BX13" s="38">
        <v>4.8</v>
      </c>
      <c r="BY13" s="38">
        <v>4.7031609413720998</v>
      </c>
      <c r="CA13" s="38">
        <v>4.8141890597618096</v>
      </c>
      <c r="CB13" s="38">
        <v>2.9547500268879414</v>
      </c>
      <c r="CC13" s="38">
        <v>2.2397864850345561</v>
      </c>
      <c r="CD13" s="38">
        <v>1.8504967168550879</v>
      </c>
      <c r="CE13" s="38">
        <v>0.48624576123145363</v>
      </c>
      <c r="CF13" s="38">
        <v>0.67378390597859295</v>
      </c>
      <c r="CG13" s="38">
        <v>2.2617312191347545</v>
      </c>
      <c r="CH13" s="38">
        <v>2.4674892296360431</v>
      </c>
      <c r="CI13" s="38">
        <v>2.463916660646627</v>
      </c>
      <c r="CJ13" s="38">
        <v>3.4326904198924457</v>
      </c>
      <c r="CK13" s="38">
        <v>3.6269398137817386</v>
      </c>
      <c r="CL13" s="38">
        <v>3.2267003099535514</v>
      </c>
      <c r="CN13" s="38">
        <v>2.5623243991393823</v>
      </c>
      <c r="CO13" s="38">
        <v>3.0694322244309755</v>
      </c>
      <c r="CP13" s="38">
        <v>3.3992472906665343</v>
      </c>
      <c r="CQ13" s="38">
        <v>3.9014630640482864</v>
      </c>
      <c r="CR13" s="38">
        <v>5.1939313521613215</v>
      </c>
      <c r="CS13" s="38">
        <v>6.4680537484303109</v>
      </c>
      <c r="CT13" s="38">
        <v>8.5394934363377004</v>
      </c>
      <c r="CU13" s="38">
        <v>9.2729780151525585</v>
      </c>
      <c r="CV13" s="38">
        <v>8.17156635233777</v>
      </c>
      <c r="CW13" s="38">
        <v>7.1335714541088606</v>
      </c>
      <c r="CX13" s="38">
        <v>6.6</v>
      </c>
      <c r="CY13" s="38">
        <v>5.6</v>
      </c>
      <c r="CZ13" s="38"/>
      <c r="DA13" s="38">
        <v>5.5</v>
      </c>
      <c r="DB13" s="38">
        <v>4.5999999999999996</v>
      </c>
      <c r="DC13" s="38">
        <v>3.8</v>
      </c>
      <c r="DD13" s="38">
        <v>4.4000000000000004</v>
      </c>
      <c r="DE13" s="38">
        <v>3.6</v>
      </c>
      <c r="DF13" s="38">
        <v>1.8</v>
      </c>
      <c r="DG13" s="38">
        <v>0.4</v>
      </c>
      <c r="DH13" s="38">
        <v>0.8</v>
      </c>
      <c r="DI13" s="211">
        <v>1.5</v>
      </c>
      <c r="DJ13" s="211">
        <v>2.2000000000000002</v>
      </c>
      <c r="DK13" s="38">
        <v>2.5819108725962701</v>
      </c>
      <c r="DL13" s="38">
        <v>4.5797867149019522</v>
      </c>
      <c r="DN13" s="265">
        <v>4.2070070309414742</v>
      </c>
      <c r="DO13" s="263">
        <v>5.4347412832389521</v>
      </c>
      <c r="DP13" s="266">
        <v>5.7662535301653728</v>
      </c>
      <c r="DQ13" s="266">
        <v>4.7604182229447307</v>
      </c>
      <c r="DR13" s="263">
        <v>5.083379900135081</v>
      </c>
      <c r="DS13" s="263">
        <v>5.5408996994312147</v>
      </c>
      <c r="DT13" s="263">
        <v>4.2470740860735168</v>
      </c>
      <c r="DU13" s="263">
        <v>3.589346614428035</v>
      </c>
      <c r="DV13" s="266">
        <v>3.3089532051515476</v>
      </c>
      <c r="DW13" s="266">
        <v>1.9106128378618699</v>
      </c>
      <c r="DX13" s="266">
        <v>1.2065149816837766</v>
      </c>
      <c r="DY13" s="266">
        <v>-0.12924369285779966</v>
      </c>
      <c r="DZ13" s="263"/>
      <c r="EA13" s="263">
        <v>-0.42620020503733191</v>
      </c>
      <c r="EB13" s="263">
        <v>-1.7363019491469074</v>
      </c>
      <c r="EC13" s="263">
        <v>-1.9926171473052552</v>
      </c>
      <c r="ED13" s="263">
        <v>-1.8839453185551702</v>
      </c>
      <c r="EE13" s="263">
        <v>-2.0696933747264428</v>
      </c>
      <c r="EF13" s="263">
        <v>-1.1257853013241479</v>
      </c>
      <c r="EG13" s="263">
        <v>-1.3192904159690879</v>
      </c>
      <c r="EH13" s="263">
        <v>-1.8691261670650545</v>
      </c>
      <c r="EI13" s="263">
        <v>-1.8569182880815998</v>
      </c>
      <c r="EJ13" s="263">
        <v>-0.91760729996430668</v>
      </c>
      <c r="EK13" s="263">
        <v>-0.57278485477956009</v>
      </c>
      <c r="EL13" s="263">
        <v>-1.0771539528029248</v>
      </c>
      <c r="EN13" s="263">
        <v>-0.64515693468207946</v>
      </c>
      <c r="EO13" s="263">
        <v>-0.15311365378918401</v>
      </c>
      <c r="EP13" s="263">
        <v>-0.11973558259799931</v>
      </c>
      <c r="EQ13" s="263">
        <v>1.1738148010645075</v>
      </c>
      <c r="ER13" s="263">
        <v>1.6042819826507022</v>
      </c>
      <c r="ES13" s="263">
        <v>1.1103356693063531</v>
      </c>
      <c r="ET13" s="263">
        <v>0.87001994998475785</v>
      </c>
      <c r="EU13" s="263"/>
      <c r="EV13" s="263"/>
      <c r="EW13" s="263"/>
      <c r="EX13" s="263"/>
      <c r="EY13" s="263"/>
    </row>
    <row r="14" spans="1:155" s="109" customFormat="1" ht="12.75" customHeight="1">
      <c r="A14" s="247" t="s">
        <v>115</v>
      </c>
      <c r="B14" s="108"/>
      <c r="C14" s="108"/>
      <c r="D14" s="108"/>
      <c r="E14" s="108"/>
      <c r="F14" s="108"/>
      <c r="G14" s="108"/>
      <c r="H14" s="108"/>
      <c r="I14" s="108"/>
      <c r="J14" s="108"/>
      <c r="K14" s="108"/>
      <c r="L14" s="108"/>
      <c r="M14" s="108"/>
      <c r="N14" s="109">
        <v>1.9467110836782098</v>
      </c>
      <c r="O14" s="109">
        <v>2.1327966913715386</v>
      </c>
      <c r="P14" s="109">
        <v>2.0261215135800796</v>
      </c>
      <c r="Q14" s="109">
        <v>2.0010642678078625</v>
      </c>
      <c r="R14" s="109">
        <v>2.0452353437927542</v>
      </c>
      <c r="S14" s="109">
        <v>1.9230432753113575</v>
      </c>
      <c r="T14" s="109">
        <v>0.94898712796793916</v>
      </c>
      <c r="U14" s="109">
        <v>0.95427744228496181</v>
      </c>
      <c r="V14" s="109">
        <v>1.1171173905073886</v>
      </c>
      <c r="W14" s="109">
        <v>1.7036829816264145</v>
      </c>
      <c r="X14" s="110">
        <v>2.3559842020367938</v>
      </c>
      <c r="Y14" s="110">
        <v>2.6246743524975358</v>
      </c>
      <c r="Z14" s="110"/>
      <c r="AA14" s="109">
        <v>2.8395873714430024</v>
      </c>
      <c r="AB14" s="110">
        <v>3.7686822054566278</v>
      </c>
      <c r="AC14" s="110">
        <v>4.5188259490548575</v>
      </c>
      <c r="AD14" s="110">
        <v>5.5103521410859457</v>
      </c>
      <c r="AE14" s="110">
        <v>5.7992130799391788</v>
      </c>
      <c r="AF14" s="110">
        <v>6.2877390935987023</v>
      </c>
      <c r="AG14" s="110">
        <v>6.5083231590458581</v>
      </c>
      <c r="AH14" s="110">
        <v>6.7366905218530206</v>
      </c>
      <c r="AI14" s="110">
        <v>6.7001111850673709</v>
      </c>
      <c r="AJ14" s="110">
        <v>5.9602406265964163</v>
      </c>
      <c r="AK14" s="110">
        <v>5.3316379872319573</v>
      </c>
      <c r="AL14" s="110">
        <v>5.0958064753692014</v>
      </c>
      <c r="AM14" s="110"/>
      <c r="AN14" s="38">
        <v>4.3770274819938493</v>
      </c>
      <c r="AO14" s="38">
        <v>2.9739174295067698</v>
      </c>
      <c r="AP14" s="87">
        <v>3.4590719910747083</v>
      </c>
      <c r="AQ14" s="38">
        <v>3.6684738675148481</v>
      </c>
      <c r="AR14" s="38">
        <v>3.5264248609093301</v>
      </c>
      <c r="AS14" s="87">
        <v>3.4753075994653244</v>
      </c>
      <c r="AT14" s="38">
        <v>3.2232857558732917</v>
      </c>
      <c r="AU14" s="38">
        <v>3.5443545744892759</v>
      </c>
      <c r="AV14" s="38">
        <v>3.7909391669259378</v>
      </c>
      <c r="AW14" s="38">
        <v>4.1840067071461391</v>
      </c>
      <c r="AX14" s="38">
        <v>4.5696917615204597</v>
      </c>
      <c r="AY14" s="38">
        <v>5.1213646635789729</v>
      </c>
      <c r="AZ14" s="38"/>
      <c r="BA14" s="38">
        <v>5.9258446746744937</v>
      </c>
      <c r="BB14" s="38">
        <v>7.2731841032860416</v>
      </c>
      <c r="BC14" s="38">
        <v>6.9378696258159067</v>
      </c>
      <c r="BD14" s="38">
        <v>6.133153938211791</v>
      </c>
      <c r="BE14" s="38">
        <v>5.7397226849242458</v>
      </c>
      <c r="BF14" s="38">
        <v>5.2475739044676146</v>
      </c>
      <c r="BG14" s="38">
        <v>5.0370324479694659</v>
      </c>
      <c r="BH14" s="38">
        <v>4.8290155067557698</v>
      </c>
      <c r="BI14" s="38">
        <v>4.7360852400422777</v>
      </c>
      <c r="BJ14" s="38">
        <v>5.497962155706011</v>
      </c>
      <c r="BK14" s="38">
        <v>6.0839280053604545</v>
      </c>
      <c r="BL14" s="38">
        <v>6.1113569929697951</v>
      </c>
      <c r="BM14" s="38"/>
      <c r="BN14" s="34">
        <v>6.3552864882270379</v>
      </c>
      <c r="BO14" s="34">
        <v>6.0177748664495487</v>
      </c>
      <c r="BP14" s="34">
        <v>5.8345289201829846</v>
      </c>
      <c r="BQ14" s="34">
        <v>5.577785494633468</v>
      </c>
      <c r="BR14" s="34">
        <v>5.8750929327539385</v>
      </c>
      <c r="BS14" s="34">
        <v>6.5002692534060715</v>
      </c>
      <c r="BT14" s="34">
        <v>7.1740806233257208</v>
      </c>
      <c r="BU14" s="34">
        <v>7.2760570828405324</v>
      </c>
      <c r="BV14" s="34">
        <v>7.0493417865929278</v>
      </c>
      <c r="BW14" s="38">
        <v>6.1534373384514174</v>
      </c>
      <c r="BX14" s="38">
        <v>5.3455884873878965</v>
      </c>
      <c r="BY14" s="38">
        <v>5.2618396343719782</v>
      </c>
      <c r="CA14" s="38">
        <v>5.195501801767449</v>
      </c>
      <c r="CB14" s="38">
        <v>4.8345320444372391</v>
      </c>
      <c r="CC14" s="38">
        <v>4.2084693740622896</v>
      </c>
      <c r="CD14" s="38">
        <v>3.7583315594786058</v>
      </c>
      <c r="CE14" s="38">
        <v>3.2601169948632331</v>
      </c>
      <c r="CF14" s="38">
        <v>3.2363685364532957</v>
      </c>
      <c r="CG14" s="38">
        <v>3.1629322945173595</v>
      </c>
      <c r="CH14" s="38">
        <v>2.8242913693336753</v>
      </c>
      <c r="CI14" s="38">
        <v>3.0783503154960692</v>
      </c>
      <c r="CJ14" s="38">
        <v>3.4553152045238247</v>
      </c>
      <c r="CK14" s="38">
        <v>3.4862250686422955</v>
      </c>
      <c r="CL14" s="38">
        <v>3.5171011178920257</v>
      </c>
      <c r="CN14" s="38">
        <v>3.6405194202680522</v>
      </c>
      <c r="CO14" s="38">
        <v>3.7337819583811256</v>
      </c>
      <c r="CP14" s="38">
        <v>4.2522434835629426</v>
      </c>
      <c r="CQ14" s="38">
        <v>4.74213105042233</v>
      </c>
      <c r="CR14" s="38">
        <v>5.3086449803825504</v>
      </c>
      <c r="CS14" s="38">
        <v>5.5046878711602343</v>
      </c>
      <c r="CT14" s="38">
        <v>5.4524473532974618</v>
      </c>
      <c r="CU14" s="38">
        <v>5.7020095917293077</v>
      </c>
      <c r="CV14" s="38">
        <v>5.3371070635227653</v>
      </c>
      <c r="CW14" s="38">
        <v>4.8</v>
      </c>
      <c r="CX14" s="38">
        <v>4.5</v>
      </c>
      <c r="CY14" s="38">
        <v>3.7</v>
      </c>
      <c r="CZ14" s="38"/>
      <c r="DA14" s="38">
        <v>3</v>
      </c>
      <c r="DB14" s="38">
        <v>2.2999999999999998</v>
      </c>
      <c r="DC14" s="38">
        <v>1.8</v>
      </c>
      <c r="DD14" s="38">
        <v>1.4</v>
      </c>
      <c r="DE14" s="38">
        <v>1.1000000000000001</v>
      </c>
      <c r="DF14" s="137">
        <v>0.4</v>
      </c>
      <c r="DG14" s="137">
        <v>0.6</v>
      </c>
      <c r="DH14" s="137">
        <v>0.8</v>
      </c>
      <c r="DI14" s="137">
        <v>1</v>
      </c>
      <c r="DJ14" s="137">
        <v>1.1744820400120355</v>
      </c>
      <c r="DK14" s="137">
        <v>1.4884324314043655</v>
      </c>
      <c r="DL14" s="238">
        <v>2.7544054374462945</v>
      </c>
      <c r="DM14" s="238"/>
      <c r="DN14" s="267">
        <v>3.5958120990102627</v>
      </c>
      <c r="DO14" s="267">
        <v>4.2858500809369344</v>
      </c>
      <c r="DP14" s="267">
        <v>4.1706978449724996</v>
      </c>
      <c r="DQ14" s="267">
        <v>3.6268367906000063</v>
      </c>
      <c r="DR14" s="267">
        <v>3.4240978364061383</v>
      </c>
      <c r="DS14" s="267">
        <v>3.1960630529033169</v>
      </c>
      <c r="DT14" s="267">
        <v>2.3070259359805076</v>
      </c>
      <c r="DU14" s="267">
        <v>1.7755282360491349</v>
      </c>
      <c r="DV14" s="268">
        <v>1.3837014875418689</v>
      </c>
      <c r="DW14" s="268">
        <v>1.1928284818133832</v>
      </c>
      <c r="DX14" s="268">
        <v>0.68949945911458321</v>
      </c>
      <c r="DY14" s="268">
        <v>-0.53579397035168563</v>
      </c>
      <c r="DZ14" s="269"/>
      <c r="EA14" s="269">
        <v>-0.36144264344042654</v>
      </c>
      <c r="EB14" s="269">
        <v>-1.4368664602421717</v>
      </c>
      <c r="EC14" s="269">
        <v>-1.7</v>
      </c>
      <c r="ED14" s="269">
        <v>-1.7387118141123921</v>
      </c>
      <c r="EE14" s="269">
        <v>-1.8267115478974318</v>
      </c>
      <c r="EF14" s="269">
        <v>-1.8107800737834054</v>
      </c>
      <c r="EG14" s="269">
        <v>-1.8009572441575017</v>
      </c>
      <c r="EH14" s="269">
        <v>-2.1071772922701939</v>
      </c>
      <c r="EI14" s="269">
        <v>-2.2481206844642827</v>
      </c>
      <c r="EJ14" s="269">
        <v>-2.1390046865966781</v>
      </c>
      <c r="EK14" s="269">
        <v>-2</v>
      </c>
      <c r="EL14" s="269">
        <v>-1.8047193953868117</v>
      </c>
      <c r="EN14" s="269">
        <v>-1.7000000000000028</v>
      </c>
      <c r="EO14" s="269">
        <v>-1.2999999999999972</v>
      </c>
      <c r="EP14" s="269">
        <v>-0.9</v>
      </c>
      <c r="EQ14" s="269">
        <v>-0.3</v>
      </c>
      <c r="ER14" s="269">
        <v>0.3</v>
      </c>
      <c r="ES14" s="269">
        <v>0.7</v>
      </c>
      <c r="ET14" s="269"/>
      <c r="EU14" s="269"/>
      <c r="EV14" s="269"/>
      <c r="EW14" s="269"/>
      <c r="EX14" s="269"/>
      <c r="EY14" s="269"/>
    </row>
    <row r="15" spans="1:155" ht="12.75" customHeight="1">
      <c r="A15" s="247" t="s">
        <v>4</v>
      </c>
      <c r="B15" s="247"/>
      <c r="C15" s="247"/>
      <c r="D15" s="247"/>
      <c r="E15" s="247"/>
      <c r="F15" s="247"/>
      <c r="G15" s="247"/>
      <c r="H15" s="247"/>
      <c r="I15" s="247"/>
      <c r="J15" s="247"/>
      <c r="K15" s="247"/>
      <c r="L15" s="247"/>
      <c r="M15" s="247"/>
      <c r="N15" s="211">
        <v>-0.83999192803009026</v>
      </c>
      <c r="O15" s="211">
        <v>1.8589195819932747</v>
      </c>
      <c r="P15" s="211">
        <v>5.9458515405300396</v>
      </c>
      <c r="Q15" s="211">
        <v>5.4330449019020985</v>
      </c>
      <c r="R15" s="211">
        <v>-3.4268748377535361</v>
      </c>
      <c r="S15" s="211">
        <v>-1.548789496829605</v>
      </c>
      <c r="T15" s="211">
        <v>-1.7456919178359576</v>
      </c>
      <c r="U15" s="211">
        <v>-0.85874229623167242</v>
      </c>
      <c r="V15" s="211">
        <v>-3.9227867631987469E-2</v>
      </c>
      <c r="W15" s="211">
        <v>3.5343449196224777</v>
      </c>
      <c r="X15" s="222">
        <v>1.4469589333397719</v>
      </c>
      <c r="Y15" s="222">
        <v>0.14507298454075376</v>
      </c>
      <c r="Z15" s="212"/>
      <c r="AA15" s="222">
        <v>4.9287420990671249</v>
      </c>
      <c r="AB15" s="222">
        <v>5</v>
      </c>
      <c r="AC15" s="222">
        <v>3.5</v>
      </c>
      <c r="AD15" s="222">
        <v>3</v>
      </c>
      <c r="AE15" s="222">
        <v>7.2</v>
      </c>
      <c r="AF15" s="222">
        <v>8</v>
      </c>
      <c r="AG15" s="222">
        <v>9.3000000000000007</v>
      </c>
      <c r="AH15" s="222">
        <v>6.9</v>
      </c>
      <c r="AI15" s="222">
        <v>5.8</v>
      </c>
      <c r="AJ15" s="222">
        <v>-3.9</v>
      </c>
      <c r="AK15" s="222">
        <v>-11.3</v>
      </c>
      <c r="AL15" s="222">
        <v>-12.5</v>
      </c>
      <c r="AM15" s="212"/>
      <c r="AN15" s="211">
        <v>-15.5292011431545</v>
      </c>
      <c r="AO15" s="211">
        <v>-18.510523455749038</v>
      </c>
      <c r="AP15" s="222">
        <v>-11.6</v>
      </c>
      <c r="AQ15" s="212">
        <v>-10.199999999999999</v>
      </c>
      <c r="AR15" s="222">
        <v>-7.2</v>
      </c>
      <c r="AS15" s="222">
        <v>-5.9</v>
      </c>
      <c r="AT15" s="211">
        <v>-5.2349580195788823</v>
      </c>
      <c r="AU15" s="211">
        <v>4.6845534885342914</v>
      </c>
      <c r="AV15" s="211">
        <v>7.2223608458321129</v>
      </c>
      <c r="AW15" s="211">
        <v>15.1</v>
      </c>
      <c r="AX15" s="211">
        <v>28.6</v>
      </c>
      <c r="AY15" s="211">
        <v>30.871872230866337</v>
      </c>
      <c r="AZ15" s="211"/>
      <c r="BA15" s="211">
        <v>39.874352148184627</v>
      </c>
      <c r="BB15" s="211">
        <v>41.153690734905815</v>
      </c>
      <c r="BC15" s="211">
        <v>34.200000000000003</v>
      </c>
      <c r="BD15" s="211">
        <v>35.78344630932289</v>
      </c>
      <c r="BE15" s="211">
        <v>27.932460314186674</v>
      </c>
      <c r="BF15" s="211">
        <v>22.905644584749083</v>
      </c>
      <c r="BG15" s="211">
        <v>18.313299949330737</v>
      </c>
      <c r="BH15" s="211">
        <v>12.435730310633534</v>
      </c>
      <c r="BI15" s="211">
        <v>14.320747485466608</v>
      </c>
      <c r="BJ15" s="211">
        <v>13.0842398922118</v>
      </c>
      <c r="BK15" s="211">
        <v>14.325683643523494</v>
      </c>
      <c r="BL15" s="211">
        <v>16.171506991955788</v>
      </c>
      <c r="BM15" s="211"/>
      <c r="BN15" s="220">
        <v>14.162777764429171</v>
      </c>
      <c r="BO15" s="220">
        <v>18.761479789179585</v>
      </c>
      <c r="BP15" s="220">
        <v>14.833570924556938</v>
      </c>
      <c r="BQ15" s="211">
        <v>9.5890310535971537</v>
      </c>
      <c r="BR15" s="211">
        <v>8.8172773137831069</v>
      </c>
      <c r="BS15" s="211">
        <v>11.376374837522382</v>
      </c>
      <c r="BT15" s="211">
        <v>7.167053214449524</v>
      </c>
      <c r="BU15" s="211">
        <v>5.1959263886271287</v>
      </c>
      <c r="BV15" s="211">
        <v>2.8491695438760081</v>
      </c>
      <c r="BW15" s="211">
        <v>1.2133974636553175</v>
      </c>
      <c r="BX15" s="211">
        <v>7.7078405388158115</v>
      </c>
      <c r="BY15" s="211">
        <v>9.5261456919040643</v>
      </c>
      <c r="BZ15" s="212"/>
      <c r="CA15" s="211">
        <v>5.5647894938586822</v>
      </c>
      <c r="CB15" s="211">
        <v>6.4845214449184594</v>
      </c>
      <c r="CC15" s="211">
        <v>10.448230995685032</v>
      </c>
      <c r="CD15" s="211">
        <v>8.57622708050393</v>
      </c>
      <c r="CE15" s="211">
        <v>7.1461450622196763</v>
      </c>
      <c r="CF15" s="211">
        <v>9.3939662873012164</v>
      </c>
      <c r="CG15" s="211">
        <v>13.806886371077672</v>
      </c>
      <c r="CH15" s="211">
        <v>12.909001665980385</v>
      </c>
      <c r="CI15" s="211">
        <v>13.469066158371165</v>
      </c>
      <c r="CJ15" s="211">
        <v>17.70982923701737</v>
      </c>
      <c r="CK15" s="211">
        <v>10.175526623516275</v>
      </c>
      <c r="CL15" s="211">
        <v>6.7325414165313751</v>
      </c>
      <c r="CM15" s="212"/>
      <c r="CN15" s="211">
        <v>10.412973879170378</v>
      </c>
      <c r="CO15" s="211">
        <v>4.2671461584487886</v>
      </c>
      <c r="CP15" s="211">
        <v>0.42412816230808398</v>
      </c>
      <c r="CQ15" s="211">
        <v>0.93337830511897901</v>
      </c>
      <c r="CR15" s="211">
        <v>3.9385815606101904</v>
      </c>
      <c r="CS15" s="211">
        <v>1.4489372586495775</v>
      </c>
      <c r="CT15" s="211">
        <v>3.8298817045158411</v>
      </c>
      <c r="CU15" s="211">
        <v>4.2</v>
      </c>
      <c r="CV15" s="211">
        <v>6.2</v>
      </c>
      <c r="CW15" s="211">
        <v>5</v>
      </c>
      <c r="CX15" s="211">
        <v>3.6</v>
      </c>
      <c r="CY15" s="211">
        <v>5.0999999999999996</v>
      </c>
      <c r="CZ15" s="211"/>
      <c r="DA15" s="220">
        <v>4.1375807227271366</v>
      </c>
      <c r="DB15" s="220">
        <v>5.9367055929368462</v>
      </c>
      <c r="DC15" s="220">
        <v>6.2567560630061401</v>
      </c>
      <c r="DD15" s="220">
        <v>10.438404384355515</v>
      </c>
      <c r="DE15" s="220">
        <v>12.6</v>
      </c>
      <c r="DF15" s="220">
        <v>12.5</v>
      </c>
      <c r="DG15" s="220">
        <v>12</v>
      </c>
      <c r="DH15" s="220">
        <v>12.6</v>
      </c>
      <c r="DI15" s="220">
        <v>7.6</v>
      </c>
      <c r="DJ15" s="211">
        <v>4.4892467256016984</v>
      </c>
      <c r="DK15" s="211">
        <v>5.0137911368748149</v>
      </c>
      <c r="DL15" s="211">
        <v>8.4585775260566134</v>
      </c>
      <c r="DM15" s="211"/>
      <c r="DN15" s="265">
        <v>7.4930709011955958</v>
      </c>
      <c r="DO15" s="265">
        <v>6.2044426786038507</v>
      </c>
      <c r="DP15" s="267">
        <v>5.8845497789695056</v>
      </c>
      <c r="DQ15" s="267">
        <v>2.0809300296278854</v>
      </c>
      <c r="DR15" s="265">
        <v>1.5820007528457332</v>
      </c>
      <c r="DS15" s="265">
        <v>-1.0697382226301553</v>
      </c>
      <c r="DT15" s="265">
        <v>-2.8522654618620651</v>
      </c>
      <c r="DU15" s="265">
        <v>-5.247426569804321</v>
      </c>
      <c r="DV15" s="267">
        <v>-4.5754225029235016</v>
      </c>
      <c r="DW15" s="267">
        <v>-5.4464379161828296</v>
      </c>
      <c r="DX15" s="267">
        <v>-4.8796832982978051</v>
      </c>
      <c r="DY15" s="267">
        <v>-7.900829064569395</v>
      </c>
      <c r="DZ15" s="263"/>
      <c r="EA15" s="263">
        <v>-6.430183620490669</v>
      </c>
      <c r="EB15" s="263">
        <v>-3.6864781857022293</v>
      </c>
      <c r="EC15" s="263">
        <v>-2.1345986801344776</v>
      </c>
      <c r="ED15" s="263">
        <v>-1.9374881034580145</v>
      </c>
      <c r="EE15" s="263">
        <v>-2.0338167006058745</v>
      </c>
      <c r="EF15" s="263">
        <v>1.0970613223644512</v>
      </c>
      <c r="EG15" s="263">
        <v>3.7764941402864571</v>
      </c>
      <c r="EH15" s="263">
        <v>5.455385855397255</v>
      </c>
      <c r="EI15" s="263">
        <v>4.5005584180747462</v>
      </c>
      <c r="EJ15" s="263">
        <v>5.6771256059957622</v>
      </c>
      <c r="EK15" s="263">
        <v>6.8314934130125762</v>
      </c>
      <c r="EL15" s="263">
        <v>7.9996310149441339</v>
      </c>
      <c r="EN15" s="263">
        <v>5.9839208093607033</v>
      </c>
      <c r="EO15" s="263">
        <v>4.4222716815213952</v>
      </c>
      <c r="EP15" s="263">
        <v>2.869908871587969</v>
      </c>
      <c r="EQ15" s="263">
        <v>2.7665220285009551</v>
      </c>
      <c r="ER15" s="263">
        <v>1.2507916151012184</v>
      </c>
      <c r="ES15" s="263">
        <v>1.6553901829937299</v>
      </c>
      <c r="ET15" s="263"/>
      <c r="EU15" s="263"/>
      <c r="EV15" s="263"/>
      <c r="EW15" s="263"/>
      <c r="EX15" s="263"/>
      <c r="EY15" s="263"/>
    </row>
    <row r="16" spans="1:155" ht="12.75" customHeight="1">
      <c r="A16" s="247" t="s">
        <v>60</v>
      </c>
      <c r="B16" s="247"/>
      <c r="C16" s="247"/>
      <c r="D16" s="247"/>
      <c r="E16" s="247"/>
      <c r="F16" s="247"/>
      <c r="G16" s="247"/>
      <c r="H16" s="247"/>
      <c r="I16" s="247"/>
      <c r="J16" s="247"/>
      <c r="K16" s="247"/>
      <c r="L16" s="247"/>
      <c r="M16" s="247"/>
      <c r="N16" s="222">
        <v>359.35</v>
      </c>
      <c r="O16" s="222">
        <v>353.61</v>
      </c>
      <c r="P16" s="222">
        <v>362.13</v>
      </c>
      <c r="Q16" s="222">
        <v>356.97</v>
      </c>
      <c r="R16" s="222">
        <v>347.87</v>
      </c>
      <c r="S16" s="222">
        <v>340.95</v>
      </c>
      <c r="T16" s="222">
        <v>337.18</v>
      </c>
      <c r="U16" s="222">
        <v>333.1</v>
      </c>
      <c r="V16" s="222">
        <v>335.79</v>
      </c>
      <c r="W16" s="222">
        <v>325.08999999999997</v>
      </c>
      <c r="X16" s="222">
        <v>305.33</v>
      </c>
      <c r="Y16" s="222">
        <v>304.22000000000003</v>
      </c>
      <c r="Z16" s="212"/>
      <c r="AA16" s="222">
        <v>306.83999999999997</v>
      </c>
      <c r="AB16" s="222">
        <v>307.81</v>
      </c>
      <c r="AC16" s="222">
        <v>307.25</v>
      </c>
      <c r="AD16" s="222">
        <v>306.82</v>
      </c>
      <c r="AE16" s="222">
        <v>305.52</v>
      </c>
      <c r="AF16" s="222">
        <v>302.64999999999998</v>
      </c>
      <c r="AG16" s="222">
        <v>300.97000000000003</v>
      </c>
      <c r="AH16" s="222">
        <v>303.33</v>
      </c>
      <c r="AI16" s="222">
        <v>302.12</v>
      </c>
      <c r="AJ16" s="222">
        <v>305.10000000000002</v>
      </c>
      <c r="AK16" s="222">
        <v>305.42</v>
      </c>
      <c r="AL16" s="222">
        <v>306.73</v>
      </c>
      <c r="AM16" s="212"/>
      <c r="AN16" s="211">
        <v>305.20999999999998</v>
      </c>
      <c r="AO16" s="211">
        <v>305.83</v>
      </c>
      <c r="AP16" s="222">
        <v>367.77</v>
      </c>
      <c r="AQ16" s="212">
        <v>370.9</v>
      </c>
      <c r="AR16" s="211">
        <v>370.28</v>
      </c>
      <c r="AS16" s="211">
        <v>360.06</v>
      </c>
      <c r="AT16" s="211">
        <v>370.34</v>
      </c>
      <c r="AU16" s="211">
        <v>374.89</v>
      </c>
      <c r="AV16" s="211">
        <v>384.27714701036501</v>
      </c>
      <c r="AW16" s="211">
        <v>386.37</v>
      </c>
      <c r="AX16" s="211">
        <v>385.75899266148826</v>
      </c>
      <c r="AY16" s="211">
        <v>377.89</v>
      </c>
      <c r="AZ16" s="211"/>
      <c r="BA16" s="211">
        <v>376.69</v>
      </c>
      <c r="BB16" s="211">
        <v>384.64528418831753</v>
      </c>
      <c r="BC16" s="211">
        <v>400.5</v>
      </c>
      <c r="BD16" s="279">
        <v>384.85280292990865</v>
      </c>
      <c r="BE16" s="279">
        <v>379.04322283593507</v>
      </c>
      <c r="BF16" s="279">
        <v>367.5007923532645</v>
      </c>
      <c r="BG16" s="279">
        <v>370.16174348442263</v>
      </c>
      <c r="BH16" s="279">
        <v>362.71517063194938</v>
      </c>
      <c r="BI16" s="279">
        <v>361.31400006640291</v>
      </c>
      <c r="BJ16" s="279">
        <v>358.21081859186052</v>
      </c>
      <c r="BK16" s="279">
        <v>359.06616320486728</v>
      </c>
      <c r="BL16" s="279">
        <v>363.43910512433655</v>
      </c>
      <c r="BM16" s="279"/>
      <c r="BN16" s="279">
        <v>363.01591137772198</v>
      </c>
      <c r="BO16" s="279">
        <v>367.3741019492652</v>
      </c>
      <c r="BP16" s="279">
        <v>369.67886666440108</v>
      </c>
      <c r="BQ16" s="279">
        <v>370.27348208883723</v>
      </c>
      <c r="BR16" s="279">
        <v>376.78367326201095</v>
      </c>
      <c r="BS16" s="279">
        <v>368.86403111554353</v>
      </c>
      <c r="BT16" s="279">
        <v>363.48236208904973</v>
      </c>
      <c r="BU16" s="279">
        <v>367.55319546349676</v>
      </c>
      <c r="BV16" s="279">
        <v>372.0541391698635</v>
      </c>
      <c r="BW16" s="279">
        <v>379.59242110905757</v>
      </c>
      <c r="BX16" s="279">
        <v>381.79502436405164</v>
      </c>
      <c r="BY16" s="279">
        <v>385.77354227208303</v>
      </c>
      <c r="BZ16" s="212"/>
      <c r="CA16" s="279">
        <v>386.80556680297809</v>
      </c>
      <c r="CB16" s="279">
        <v>388.75130819567545</v>
      </c>
      <c r="CC16" s="279">
        <v>390.64177903755575</v>
      </c>
      <c r="CD16" s="279">
        <v>392.15741902252472</v>
      </c>
      <c r="CE16" s="279">
        <v>405.73728810039216</v>
      </c>
      <c r="CF16" s="279">
        <v>418.00745929211479</v>
      </c>
      <c r="CG16" s="279">
        <v>407.59755405527801</v>
      </c>
      <c r="CH16" s="279">
        <v>408.59</v>
      </c>
      <c r="CI16" s="279">
        <v>406.25080573769236</v>
      </c>
      <c r="CJ16" s="279">
        <v>405.46638934243566</v>
      </c>
      <c r="CK16" s="279">
        <v>405.31539580884538</v>
      </c>
      <c r="CL16" s="279">
        <v>403.58482739357913</v>
      </c>
      <c r="CM16" s="212"/>
      <c r="CN16" s="279">
        <v>406.63839714736417</v>
      </c>
      <c r="CO16" s="279">
        <v>409.22</v>
      </c>
      <c r="CP16" s="279">
        <v>418.58</v>
      </c>
      <c r="CQ16" s="279">
        <v>410.98</v>
      </c>
      <c r="CR16" s="279">
        <v>417.22</v>
      </c>
      <c r="CS16" s="279">
        <v>409.9</v>
      </c>
      <c r="CT16" s="279">
        <v>409.75</v>
      </c>
      <c r="CU16" s="211">
        <v>406.24</v>
      </c>
      <c r="CV16" s="279">
        <v>405.29</v>
      </c>
      <c r="CW16" s="211">
        <v>405.03</v>
      </c>
      <c r="CX16" s="212">
        <v>403.91</v>
      </c>
      <c r="CY16" s="279">
        <v>405.64</v>
      </c>
      <c r="CZ16" s="212"/>
      <c r="DA16" s="279">
        <v>408.11</v>
      </c>
      <c r="DB16" s="211">
        <v>413.15</v>
      </c>
      <c r="DC16" s="211">
        <v>413.31</v>
      </c>
      <c r="DD16" s="214">
        <v>413.59</v>
      </c>
      <c r="DE16" s="214">
        <v>413.28</v>
      </c>
      <c r="DF16" s="214">
        <v>407.28</v>
      </c>
      <c r="DG16" s="214">
        <v>406.01</v>
      </c>
      <c r="DH16" s="211">
        <v>411.23</v>
      </c>
      <c r="DI16" s="211">
        <v>407.6</v>
      </c>
      <c r="DJ16" s="211">
        <v>411.26</v>
      </c>
      <c r="DK16" s="211">
        <v>433.69</v>
      </c>
      <c r="DL16" s="211">
        <v>474.97</v>
      </c>
      <c r="DM16" s="211"/>
      <c r="DN16" s="265">
        <v>476.74</v>
      </c>
      <c r="DO16" s="265">
        <v>478.76</v>
      </c>
      <c r="DP16" s="265">
        <v>471.21</v>
      </c>
      <c r="DQ16" s="265">
        <v>476.42</v>
      </c>
      <c r="DR16" s="265">
        <v>478.54</v>
      </c>
      <c r="DS16" s="265">
        <v>472.53</v>
      </c>
      <c r="DT16" s="265">
        <v>478.29</v>
      </c>
      <c r="DU16" s="265">
        <v>482.77</v>
      </c>
      <c r="DV16" s="267">
        <v>473.71</v>
      </c>
      <c r="DW16" s="267">
        <v>472.78</v>
      </c>
      <c r="DX16" s="267">
        <v>482.81</v>
      </c>
      <c r="DY16" s="267">
        <v>483.75</v>
      </c>
      <c r="DZ16" s="263"/>
      <c r="EA16" s="263">
        <v>488.75</v>
      </c>
      <c r="EB16" s="263">
        <v>491.34</v>
      </c>
      <c r="EC16" s="265">
        <v>480.79</v>
      </c>
      <c r="ED16" s="265">
        <v>478.61</v>
      </c>
      <c r="EE16" s="263">
        <v>477.55</v>
      </c>
      <c r="EF16" s="263">
        <v>476.68</v>
      </c>
      <c r="EG16" s="263">
        <v>476.13</v>
      </c>
      <c r="EH16" s="263">
        <v>474.75</v>
      </c>
      <c r="EI16" s="263">
        <v>474.46</v>
      </c>
      <c r="EJ16" s="263">
        <v>475.14</v>
      </c>
      <c r="EK16" s="263">
        <v>480.2</v>
      </c>
      <c r="EL16" s="263">
        <v>483.94</v>
      </c>
      <c r="EN16" s="263">
        <v>486.5</v>
      </c>
      <c r="EO16" s="263">
        <v>486.59</v>
      </c>
      <c r="EP16" s="265">
        <v>483.45</v>
      </c>
      <c r="EQ16" s="265">
        <v>484.68</v>
      </c>
      <c r="ER16" s="267">
        <v>482</v>
      </c>
      <c r="ES16" s="267" t="s">
        <v>136</v>
      </c>
      <c r="ET16" s="267" t="s">
        <v>137</v>
      </c>
      <c r="EU16" s="263"/>
      <c r="EV16" s="263"/>
      <c r="EW16" s="263"/>
      <c r="EX16" s="263"/>
      <c r="EY16" s="263"/>
    </row>
    <row r="17" spans="1:155" ht="12.75" customHeight="1">
      <c r="A17" s="247" t="s">
        <v>21</v>
      </c>
      <c r="B17" s="247"/>
      <c r="C17" s="247"/>
      <c r="D17" s="247"/>
      <c r="E17" s="247"/>
      <c r="F17" s="247"/>
      <c r="G17" s="247"/>
      <c r="H17" s="247"/>
      <c r="I17" s="247"/>
      <c r="J17" s="247"/>
      <c r="K17" s="247"/>
      <c r="L17" s="247"/>
      <c r="M17" s="247"/>
      <c r="N17" s="222">
        <v>363.71</v>
      </c>
      <c r="O17" s="222">
        <v>355.98</v>
      </c>
      <c r="P17" s="222">
        <v>358.63</v>
      </c>
      <c r="Q17" s="222">
        <v>363.33</v>
      </c>
      <c r="R17" s="222">
        <v>353.77</v>
      </c>
      <c r="S17" s="222">
        <v>344.8</v>
      </c>
      <c r="T17" s="212">
        <v>338.35</v>
      </c>
      <c r="U17" s="222">
        <v>336.94</v>
      </c>
      <c r="V17" s="222">
        <v>338.2</v>
      </c>
      <c r="W17" s="222">
        <v>330.28</v>
      </c>
      <c r="X17" s="222">
        <v>316.85000000000002</v>
      </c>
      <c r="Y17" s="222">
        <v>304.14699999999999</v>
      </c>
      <c r="Z17" s="212"/>
      <c r="AA17" s="222">
        <v>306.61227272727268</v>
      </c>
      <c r="AB17" s="222">
        <v>308.59090909090907</v>
      </c>
      <c r="AC17" s="222">
        <v>308.61318181818183</v>
      </c>
      <c r="AD17" s="222">
        <v>309.03909090909093</v>
      </c>
      <c r="AE17" s="222">
        <v>307.33818181818185</v>
      </c>
      <c r="AF17" s="222">
        <v>305.05636363636364</v>
      </c>
      <c r="AG17" s="222">
        <v>302.39</v>
      </c>
      <c r="AH17" s="222">
        <v>301.86727272727268</v>
      </c>
      <c r="AI17" s="222">
        <v>302.55272727272728</v>
      </c>
      <c r="AJ17" s="222">
        <v>306.38181818181823</v>
      </c>
      <c r="AK17" s="222">
        <v>305.21590909090907</v>
      </c>
      <c r="AL17" s="222">
        <v>308.03954545454542</v>
      </c>
      <c r="AM17" s="212"/>
      <c r="AN17" s="211">
        <v>306.00227272727273</v>
      </c>
      <c r="AO17" s="211">
        <v>305.37681818181818</v>
      </c>
      <c r="AP17" s="211">
        <v>365.70499999999998</v>
      </c>
      <c r="AQ17" s="212">
        <v>372.42</v>
      </c>
      <c r="AR17" s="211">
        <v>372.57</v>
      </c>
      <c r="AS17" s="211">
        <v>366.71</v>
      </c>
      <c r="AT17" s="211">
        <v>365.29</v>
      </c>
      <c r="AU17" s="211">
        <v>372.76</v>
      </c>
      <c r="AV17" s="211">
        <v>379.87</v>
      </c>
      <c r="AW17" s="211">
        <v>385.62</v>
      </c>
      <c r="AX17" s="211">
        <v>387.13</v>
      </c>
      <c r="AY17" s="211">
        <v>380.58</v>
      </c>
      <c r="AZ17" s="211"/>
      <c r="BA17" s="211">
        <v>377.57</v>
      </c>
      <c r="BB17" s="211">
        <v>380.49</v>
      </c>
      <c r="BC17" s="211">
        <v>394.21</v>
      </c>
      <c r="BD17" s="279">
        <v>394.53071772204726</v>
      </c>
      <c r="BE17" s="279">
        <v>385.23130005208714</v>
      </c>
      <c r="BF17" s="279">
        <v>373.45875929487579</v>
      </c>
      <c r="BG17" s="279">
        <v>366.62099911133242</v>
      </c>
      <c r="BH17" s="279">
        <v>366.39321196339091</v>
      </c>
      <c r="BI17" s="279">
        <v>363.35839359007593</v>
      </c>
      <c r="BJ17" s="279">
        <v>360.37355997979967</v>
      </c>
      <c r="BK17" s="279">
        <v>361.40177486210899</v>
      </c>
      <c r="BL17" s="279">
        <v>360.36946884528447</v>
      </c>
      <c r="BM17" s="279"/>
      <c r="BN17" s="279">
        <v>364.94982210381221</v>
      </c>
      <c r="BO17" s="279">
        <v>364.97714774627775</v>
      </c>
      <c r="BP17" s="279">
        <v>368.42325336163884</v>
      </c>
      <c r="BQ17" s="279">
        <v>373.64997581214948</v>
      </c>
      <c r="BR17" s="279">
        <v>374.24683725306045</v>
      </c>
      <c r="BS17" s="279">
        <v>374.645080854166</v>
      </c>
      <c r="BT17" s="279">
        <v>367.17341814457723</v>
      </c>
      <c r="BU17" s="279">
        <v>367.07195588630827</v>
      </c>
      <c r="BV17" s="279">
        <v>372.27847799529491</v>
      </c>
      <c r="BW17" s="279">
        <v>376.59750402323755</v>
      </c>
      <c r="BX17" s="279">
        <v>382.78418553636823</v>
      </c>
      <c r="BY17" s="279">
        <v>383.10671773165035</v>
      </c>
      <c r="BZ17" s="212"/>
      <c r="CA17" s="279">
        <v>387.52776616319244</v>
      </c>
      <c r="CB17" s="279">
        <v>388.6283049532226</v>
      </c>
      <c r="CC17" s="279">
        <v>389.06121627376444</v>
      </c>
      <c r="CD17" s="279">
        <v>392.02288442193526</v>
      </c>
      <c r="CE17" s="279">
        <v>397.92173796143049</v>
      </c>
      <c r="CF17" s="279">
        <v>414.47051046647789</v>
      </c>
      <c r="CG17" s="279">
        <v>412.60166212225897</v>
      </c>
      <c r="CH17" s="279">
        <v>410.84318181818185</v>
      </c>
      <c r="CI17" s="279">
        <v>408.63818761012044</v>
      </c>
      <c r="CJ17" s="279">
        <v>406.63662261069692</v>
      </c>
      <c r="CK17" s="279">
        <v>407.14532866643782</v>
      </c>
      <c r="CL17" s="279">
        <v>405.83584235015252</v>
      </c>
      <c r="CM17" s="212"/>
      <c r="CN17" s="279">
        <v>406.66566782761726</v>
      </c>
      <c r="CO17" s="279">
        <v>407.02077620903748</v>
      </c>
      <c r="CP17" s="279">
        <v>414.51350000000002</v>
      </c>
      <c r="CQ17" s="279">
        <v>416.18238095238087</v>
      </c>
      <c r="CR17" s="279">
        <v>415.87894736842105</v>
      </c>
      <c r="CS17" s="279">
        <v>412.76142857142855</v>
      </c>
      <c r="CT17" s="279">
        <v>410.47363636363627</v>
      </c>
      <c r="CU17" s="211">
        <v>407.35954545454547</v>
      </c>
      <c r="CV17" s="211">
        <v>407.95949999999993</v>
      </c>
      <c r="CW17" s="211">
        <v>406.10695652173916</v>
      </c>
      <c r="CX17" s="211">
        <v>405.04105263157896</v>
      </c>
      <c r="CY17" s="279">
        <v>405.32</v>
      </c>
      <c r="CZ17" s="211"/>
      <c r="DA17" s="279">
        <v>407.40333333333336</v>
      </c>
      <c r="DB17" s="211">
        <v>411.54142857142853</v>
      </c>
      <c r="DC17" s="211">
        <v>414.21666666666664</v>
      </c>
      <c r="DD17" s="211">
        <v>414.32809523809527</v>
      </c>
      <c r="DE17" s="211">
        <v>413.31999999999994</v>
      </c>
      <c r="DF17" s="211">
        <v>410.9019047619048</v>
      </c>
      <c r="DG17" s="211">
        <v>407.13363636363641</v>
      </c>
      <c r="DH17" s="211">
        <v>409.415909090909</v>
      </c>
      <c r="DI17" s="211">
        <v>408.79818181818177</v>
      </c>
      <c r="DJ17" s="211">
        <v>409.98304347826081</v>
      </c>
      <c r="DK17" s="211">
        <v>419.79199999999992</v>
      </c>
      <c r="DL17" s="211">
        <v>463.0570833333332</v>
      </c>
      <c r="DM17" s="211"/>
      <c r="DN17" s="265">
        <v>475.87642857142856</v>
      </c>
      <c r="DO17" s="265">
        <v>478.39300000000003</v>
      </c>
      <c r="DP17" s="265">
        <v>477.65136363636356</v>
      </c>
      <c r="DQ17" s="265">
        <v>474.07428571428579</v>
      </c>
      <c r="DR17" s="265">
        <v>480.2</v>
      </c>
      <c r="DS17" s="265">
        <v>475.1</v>
      </c>
      <c r="DT17" s="265">
        <v>477.2</v>
      </c>
      <c r="DU17" s="265">
        <v>479.8</v>
      </c>
      <c r="DV17" s="267">
        <v>481.06857142857137</v>
      </c>
      <c r="DW17" s="267">
        <v>472.54636363636365</v>
      </c>
      <c r="DX17" s="267">
        <v>474.48</v>
      </c>
      <c r="DY17" s="267">
        <v>482.92999999999989</v>
      </c>
      <c r="DZ17" s="263"/>
      <c r="EA17" s="267">
        <v>486.04</v>
      </c>
      <c r="EB17" s="267">
        <v>493.64</v>
      </c>
      <c r="EC17" s="267">
        <v>486.33</v>
      </c>
      <c r="ED17" s="267">
        <v>481.27045454545458</v>
      </c>
      <c r="EE17" s="263">
        <v>478.36761904761903</v>
      </c>
      <c r="EF17" s="263">
        <v>477.52681818181827</v>
      </c>
      <c r="EG17" s="263">
        <v>476.52</v>
      </c>
      <c r="EH17" s="263">
        <v>475.45</v>
      </c>
      <c r="EI17" s="263">
        <v>474.10380952380945</v>
      </c>
      <c r="EJ17" s="263">
        <v>475.25</v>
      </c>
      <c r="EK17" s="263">
        <v>478.51499999999999</v>
      </c>
      <c r="EL17" s="263">
        <v>482.84</v>
      </c>
      <c r="EN17" s="263">
        <v>486.00882352941176</v>
      </c>
      <c r="EO17" s="263">
        <v>486.50700000000001</v>
      </c>
      <c r="EP17" s="267">
        <v>484.83</v>
      </c>
      <c r="EQ17" s="267">
        <v>485.1</v>
      </c>
      <c r="ER17" s="263">
        <v>483.4</v>
      </c>
      <c r="ES17" s="263">
        <v>482.1</v>
      </c>
      <c r="ET17" s="263">
        <v>479.6</v>
      </c>
      <c r="EU17" s="263"/>
      <c r="EV17" s="263"/>
      <c r="EW17" s="263"/>
      <c r="EX17" s="263"/>
      <c r="EY17" s="263"/>
    </row>
    <row r="18" spans="1:155">
      <c r="A18" s="212" t="s">
        <v>86</v>
      </c>
      <c r="B18" s="212"/>
      <c r="C18" s="212"/>
      <c r="D18" s="212"/>
      <c r="E18" s="212"/>
      <c r="F18" s="212"/>
      <c r="G18" s="212"/>
      <c r="H18" s="212"/>
      <c r="I18" s="212"/>
      <c r="J18" s="212"/>
      <c r="K18" s="212"/>
      <c r="L18" s="212"/>
      <c r="M18" s="212"/>
      <c r="N18" s="211"/>
      <c r="O18" s="211"/>
      <c r="P18" s="211"/>
      <c r="Q18" s="211"/>
      <c r="R18" s="211"/>
      <c r="S18" s="211"/>
      <c r="T18" s="211"/>
      <c r="U18" s="211"/>
      <c r="V18" s="211"/>
      <c r="W18" s="211"/>
      <c r="X18" s="211"/>
      <c r="Y18" s="211"/>
      <c r="Z18" s="212"/>
      <c r="AA18" s="222"/>
      <c r="AB18" s="222"/>
      <c r="AC18" s="212"/>
      <c r="AD18" s="212"/>
      <c r="AE18" s="212"/>
      <c r="AF18" s="212"/>
      <c r="AG18" s="212"/>
      <c r="AH18" s="212"/>
      <c r="AI18" s="212"/>
      <c r="AJ18" s="212"/>
      <c r="AK18" s="212"/>
      <c r="AL18" s="212"/>
      <c r="AM18" s="212"/>
      <c r="AN18" s="212"/>
      <c r="AO18" s="212"/>
      <c r="AP18" s="222">
        <v>19.899999999999999</v>
      </c>
      <c r="AQ18" s="212"/>
      <c r="AR18" s="212"/>
      <c r="AS18" s="222">
        <v>19.100000000000001</v>
      </c>
      <c r="AT18" s="212"/>
      <c r="AU18" s="212"/>
      <c r="AV18" s="222">
        <v>19.3</v>
      </c>
      <c r="AW18" s="212"/>
      <c r="AX18" s="212"/>
      <c r="AY18" s="222">
        <v>16.8</v>
      </c>
      <c r="AZ18" s="212"/>
      <c r="BA18" s="212"/>
      <c r="BB18" s="212"/>
      <c r="BC18" s="222">
        <v>18.100000000000001</v>
      </c>
      <c r="BD18" s="212"/>
      <c r="BE18" s="212"/>
      <c r="BF18" s="222">
        <v>19.5</v>
      </c>
      <c r="BG18" s="212"/>
      <c r="BH18" s="212"/>
      <c r="BI18" s="222">
        <v>17.600000000000001</v>
      </c>
      <c r="BJ18" s="212"/>
      <c r="BK18" s="212"/>
      <c r="BL18" s="222">
        <v>17.8</v>
      </c>
      <c r="BM18" s="212"/>
      <c r="BN18" s="212"/>
      <c r="BO18" s="212"/>
      <c r="BP18" s="222">
        <v>20.7</v>
      </c>
      <c r="BQ18" s="212"/>
      <c r="BR18" s="212"/>
      <c r="BS18" s="222">
        <v>19.204987263708272</v>
      </c>
      <c r="BT18" s="212"/>
      <c r="BU18" s="212"/>
      <c r="BV18" s="222">
        <v>17.2</v>
      </c>
      <c r="BW18" s="212"/>
      <c r="BX18" s="212"/>
      <c r="BY18" s="222">
        <v>16.5</v>
      </c>
      <c r="BZ18" s="212"/>
      <c r="CA18" s="212"/>
      <c r="CB18" s="212"/>
      <c r="CC18" s="222">
        <v>20.100000000000001</v>
      </c>
      <c r="CD18" s="212"/>
      <c r="CE18" s="212"/>
      <c r="CF18" s="222">
        <v>17.427620867841721</v>
      </c>
      <c r="CG18" s="212"/>
      <c r="CH18" s="212"/>
      <c r="CI18" s="211">
        <v>16</v>
      </c>
      <c r="CJ18" s="212"/>
      <c r="CK18" s="212"/>
      <c r="CL18" s="211">
        <v>15.7</v>
      </c>
      <c r="CM18" s="212"/>
      <c r="CN18" s="212"/>
      <c r="CO18" s="212"/>
      <c r="CP18" s="211">
        <v>16.899999999999999</v>
      </c>
      <c r="CQ18" s="212"/>
      <c r="CR18" s="212"/>
      <c r="CS18" s="212">
        <v>16.2</v>
      </c>
      <c r="CT18" s="212"/>
      <c r="CU18" s="212"/>
      <c r="CV18" s="211">
        <v>15.4</v>
      </c>
      <c r="CW18" s="211"/>
      <c r="CX18" s="212"/>
      <c r="CY18" s="212">
        <v>16.2</v>
      </c>
      <c r="CZ18" s="212"/>
      <c r="DA18" s="212"/>
      <c r="DB18" s="214"/>
      <c r="DC18" s="214">
        <v>17.8</v>
      </c>
      <c r="DD18" s="214"/>
      <c r="DE18" s="214"/>
      <c r="DF18" s="214">
        <v>17.5</v>
      </c>
      <c r="DG18" s="214"/>
      <c r="DH18" s="214"/>
      <c r="DI18" s="211">
        <v>17.100000000000001</v>
      </c>
      <c r="DJ18" s="212"/>
      <c r="DK18" s="212"/>
      <c r="DL18" s="211">
        <v>17.8</v>
      </c>
      <c r="DM18" s="212"/>
      <c r="DN18" s="265"/>
      <c r="DO18" s="265"/>
      <c r="DP18" s="265">
        <v>19.600000000000001</v>
      </c>
      <c r="DQ18" s="265"/>
      <c r="DR18" s="265"/>
      <c r="DS18" s="265">
        <v>18</v>
      </c>
      <c r="DT18" s="265"/>
      <c r="DU18" s="265"/>
      <c r="DV18" s="267">
        <v>16.3</v>
      </c>
      <c r="DW18" s="265"/>
      <c r="DX18" s="265"/>
      <c r="DY18" s="267">
        <v>19.5</v>
      </c>
      <c r="DZ18" s="263"/>
      <c r="EA18" s="263"/>
      <c r="EB18" s="263"/>
      <c r="EC18" s="282">
        <v>18.3</v>
      </c>
      <c r="ED18" s="263"/>
      <c r="EE18" s="263"/>
      <c r="EF18" s="263">
        <v>18.399999999999999</v>
      </c>
      <c r="EG18" s="263"/>
      <c r="EH18" s="263"/>
      <c r="EI18" s="263">
        <v>18.100000000000001</v>
      </c>
      <c r="EJ18" s="263"/>
      <c r="EK18" s="263"/>
      <c r="EL18" s="263">
        <v>17.399999999999999</v>
      </c>
      <c r="EN18" s="263"/>
      <c r="EO18" s="263"/>
      <c r="EP18" s="263">
        <v>19</v>
      </c>
      <c r="EQ18" s="263"/>
      <c r="ER18" s="263"/>
      <c r="ES18" s="263"/>
      <c r="ET18" s="263"/>
      <c r="EU18" s="263"/>
      <c r="EV18" s="263"/>
      <c r="EW18" s="263"/>
      <c r="EX18" s="263"/>
      <c r="EY18" s="263"/>
    </row>
    <row r="19" spans="1:155">
      <c r="A19" s="212" t="s">
        <v>0</v>
      </c>
      <c r="B19" s="212"/>
      <c r="C19" s="212"/>
      <c r="D19" s="212"/>
      <c r="E19" s="212"/>
      <c r="F19" s="212"/>
      <c r="G19" s="212"/>
      <c r="H19" s="212"/>
      <c r="I19" s="212"/>
      <c r="J19" s="212">
        <v>98.821218074656187</v>
      </c>
      <c r="K19" s="212"/>
      <c r="L19" s="212"/>
      <c r="M19" s="212">
        <v>97.669902912621353</v>
      </c>
      <c r="N19" s="211"/>
      <c r="O19" s="211"/>
      <c r="P19" s="211">
        <v>105.26315789473686</v>
      </c>
      <c r="Q19" s="211"/>
      <c r="R19" s="211"/>
      <c r="S19" s="211">
        <v>108</v>
      </c>
      <c r="T19" s="211"/>
      <c r="U19" s="211"/>
      <c r="V19" s="211">
        <v>104.2</v>
      </c>
      <c r="W19" s="211"/>
      <c r="X19" s="211"/>
      <c r="Y19" s="211">
        <v>96.5</v>
      </c>
      <c r="Z19" s="211"/>
      <c r="AA19" s="211"/>
      <c r="AB19" s="212"/>
      <c r="AC19" s="222">
        <v>99.1</v>
      </c>
      <c r="AD19" s="222"/>
      <c r="AE19" s="222"/>
      <c r="AF19" s="222">
        <v>93.862644659457388</v>
      </c>
      <c r="AG19" s="222"/>
      <c r="AH19" s="222"/>
      <c r="AI19" s="222">
        <v>98.381222010418327</v>
      </c>
      <c r="AJ19" s="222"/>
      <c r="AK19" s="222"/>
      <c r="AL19" s="222">
        <v>100.3</v>
      </c>
      <c r="AM19" s="222"/>
      <c r="AN19" s="222"/>
      <c r="AO19" s="222"/>
      <c r="AP19" s="222">
        <v>84.668424728118993</v>
      </c>
      <c r="AQ19" s="222"/>
      <c r="AR19" s="222"/>
      <c r="AS19" s="222">
        <v>87.720365753309764</v>
      </c>
      <c r="AT19" s="222"/>
      <c r="AU19" s="222"/>
      <c r="AV19" s="211">
        <v>86.676095778670842</v>
      </c>
      <c r="AW19" s="211"/>
      <c r="AX19" s="211"/>
      <c r="AY19" s="211">
        <v>88.779173025742466</v>
      </c>
      <c r="AZ19" s="211"/>
      <c r="BA19" s="211"/>
      <c r="BB19" s="211"/>
      <c r="BC19" s="211">
        <v>101.46283143887975</v>
      </c>
      <c r="BD19" s="211"/>
      <c r="BE19" s="211"/>
      <c r="BF19" s="211">
        <v>108.42195301036965</v>
      </c>
      <c r="BG19" s="211"/>
      <c r="BH19" s="211"/>
      <c r="BI19" s="211">
        <v>102.3</v>
      </c>
      <c r="BJ19" s="211"/>
      <c r="BK19" s="211"/>
      <c r="BL19" s="211">
        <v>108</v>
      </c>
      <c r="BM19" s="211"/>
      <c r="BN19" s="212"/>
      <c r="BO19" s="212"/>
      <c r="BP19" s="211">
        <v>99</v>
      </c>
      <c r="BQ19" s="212"/>
      <c r="BR19" s="212"/>
      <c r="BS19" s="209">
        <v>101.3</v>
      </c>
      <c r="BT19" s="211"/>
      <c r="BU19" s="212"/>
      <c r="BV19" s="209">
        <v>106.3</v>
      </c>
      <c r="BW19" s="212"/>
      <c r="BX19" s="212"/>
      <c r="BY19" s="209">
        <v>94.7</v>
      </c>
      <c r="BZ19" s="212"/>
      <c r="CA19" s="209"/>
      <c r="CB19" s="212"/>
      <c r="CC19" s="32">
        <v>103.05676855895199</v>
      </c>
      <c r="CD19" s="212"/>
      <c r="CE19" s="212"/>
      <c r="CF19" s="211">
        <v>101.91489361702126</v>
      </c>
      <c r="CG19" s="211"/>
      <c r="CH19" s="212"/>
      <c r="CI19" s="212">
        <v>95.5</v>
      </c>
      <c r="CJ19" s="212"/>
      <c r="CK19" s="212"/>
      <c r="CL19" s="211">
        <v>100.2</v>
      </c>
      <c r="CM19" s="212"/>
      <c r="CN19" s="212"/>
      <c r="CO19" s="212"/>
      <c r="CP19" s="211">
        <v>93.037974683544306</v>
      </c>
      <c r="CQ19" s="212"/>
      <c r="CR19" s="212"/>
      <c r="CS19" s="211">
        <v>91.471215351812361</v>
      </c>
      <c r="CT19" s="212"/>
      <c r="CU19" s="212"/>
      <c r="CV19" s="211">
        <v>90.107526881720418</v>
      </c>
      <c r="CW19" s="212"/>
      <c r="CX19" s="212"/>
      <c r="CY19" s="211">
        <v>92.4944812362031</v>
      </c>
      <c r="CZ19" s="212"/>
      <c r="DA19" s="212"/>
      <c r="DB19" s="212"/>
      <c r="DC19" s="211">
        <v>92.517006802721085</v>
      </c>
      <c r="DD19" s="212"/>
      <c r="DE19" s="212"/>
      <c r="DF19" s="211">
        <v>96.997690531177838</v>
      </c>
      <c r="DG19" s="212"/>
      <c r="DH19" s="212"/>
      <c r="DI19" s="211">
        <v>107.54257907542579</v>
      </c>
      <c r="DJ19" s="212"/>
      <c r="DK19" s="212"/>
      <c r="DL19" s="211">
        <v>97.8</v>
      </c>
      <c r="DM19" s="212"/>
      <c r="DN19" s="280"/>
      <c r="DO19" s="280"/>
      <c r="DP19" s="280">
        <v>100</v>
      </c>
      <c r="DQ19" s="280"/>
      <c r="DR19" s="265"/>
      <c r="DS19" s="265">
        <v>99</v>
      </c>
      <c r="DT19" s="265"/>
      <c r="DU19" s="265"/>
      <c r="DV19" s="265">
        <v>91.1</v>
      </c>
      <c r="DW19" s="265"/>
      <c r="DX19" s="265"/>
      <c r="DY19" s="282">
        <v>102.7</v>
      </c>
      <c r="DZ19" s="263"/>
      <c r="EA19" s="263"/>
      <c r="EB19" s="263"/>
      <c r="EC19" s="265">
        <v>102.9</v>
      </c>
      <c r="ED19" s="263"/>
      <c r="EE19" s="263"/>
      <c r="EF19" s="263">
        <v>103.6</v>
      </c>
      <c r="EG19" s="263"/>
      <c r="EH19" s="263"/>
      <c r="EI19" s="263"/>
      <c r="EJ19" s="263"/>
      <c r="EK19" s="263"/>
      <c r="EL19" s="267" t="s">
        <v>138</v>
      </c>
      <c r="EN19" s="263"/>
      <c r="EO19" s="263"/>
      <c r="EP19" s="267" t="s">
        <v>138</v>
      </c>
      <c r="EQ19" s="263"/>
      <c r="ER19" s="263"/>
      <c r="ES19" s="267" t="s">
        <v>138</v>
      </c>
      <c r="ET19" s="263"/>
      <c r="EU19" s="263"/>
      <c r="EV19" s="263"/>
      <c r="EW19" s="263"/>
      <c r="EX19" s="263"/>
      <c r="EY19" s="263"/>
    </row>
    <row r="20" spans="1:155">
      <c r="A20" s="212" t="s">
        <v>108</v>
      </c>
      <c r="B20" s="212"/>
      <c r="C20" s="212"/>
      <c r="D20" s="212"/>
      <c r="E20" s="212"/>
      <c r="F20" s="212"/>
      <c r="G20" s="212"/>
      <c r="H20" s="212"/>
      <c r="I20" s="212"/>
      <c r="J20" s="212">
        <v>88.94472361809045</v>
      </c>
      <c r="K20" s="212"/>
      <c r="L20" s="212"/>
      <c r="M20" s="212">
        <v>88.354898336414038</v>
      </c>
      <c r="N20" s="211"/>
      <c r="O20" s="211"/>
      <c r="P20" s="211">
        <v>99.063595838615726</v>
      </c>
      <c r="Q20" s="211"/>
      <c r="R20" s="211"/>
      <c r="S20" s="211">
        <v>99.176414475208958</v>
      </c>
      <c r="T20" s="211"/>
      <c r="U20" s="211"/>
      <c r="V20" s="211">
        <v>95.856873822975501</v>
      </c>
      <c r="W20" s="211"/>
      <c r="X20" s="211"/>
      <c r="Y20" s="211">
        <v>98.11715481171548</v>
      </c>
      <c r="Z20" s="211"/>
      <c r="AA20" s="211"/>
      <c r="AB20" s="212"/>
      <c r="AC20" s="222">
        <v>87.514888478448825</v>
      </c>
      <c r="AD20" s="222"/>
      <c r="AE20" s="222"/>
      <c r="AF20" s="222">
        <v>86.634146347688315</v>
      </c>
      <c r="AG20" s="222"/>
      <c r="AH20" s="222"/>
      <c r="AI20" s="222">
        <v>96.809495886864639</v>
      </c>
      <c r="AJ20" s="222"/>
      <c r="AK20" s="222"/>
      <c r="AL20" s="222">
        <v>88.398556813045644</v>
      </c>
      <c r="AM20" s="222"/>
      <c r="AN20" s="222"/>
      <c r="AO20" s="222"/>
      <c r="AP20" s="222">
        <v>66.350286821419488</v>
      </c>
      <c r="AQ20" s="222"/>
      <c r="AR20" s="222"/>
      <c r="AS20" s="222">
        <v>76.546347449323804</v>
      </c>
      <c r="AT20" s="222"/>
      <c r="AU20" s="222"/>
      <c r="AV20" s="211">
        <v>95.928828892718116</v>
      </c>
      <c r="AW20" s="211"/>
      <c r="AX20" s="211"/>
      <c r="AY20" s="211">
        <v>104.99668643283411</v>
      </c>
      <c r="AZ20" s="211"/>
      <c r="BA20" s="211"/>
      <c r="BB20" s="211"/>
      <c r="BC20" s="211">
        <v>138.36001149817449</v>
      </c>
      <c r="BD20" s="211"/>
      <c r="BE20" s="211"/>
      <c r="BF20" s="211">
        <v>133.80000000000001</v>
      </c>
      <c r="BG20" s="211"/>
      <c r="BH20" s="211"/>
      <c r="BI20" s="240">
        <v>104.5</v>
      </c>
      <c r="BJ20" s="211"/>
      <c r="BK20" s="211"/>
      <c r="BL20" s="240">
        <v>107.7</v>
      </c>
      <c r="BM20" s="240"/>
      <c r="BN20" s="212"/>
      <c r="BO20" s="212"/>
      <c r="BP20" s="240">
        <v>96</v>
      </c>
      <c r="BQ20" s="212"/>
      <c r="BR20" s="212"/>
      <c r="BS20" s="209">
        <v>94.8</v>
      </c>
      <c r="BT20" s="211"/>
      <c r="BU20" s="212"/>
      <c r="BV20" s="32">
        <v>101</v>
      </c>
      <c r="BW20" s="212"/>
      <c r="BX20" s="212"/>
      <c r="BY20" s="32">
        <v>97.3</v>
      </c>
      <c r="BZ20" s="212"/>
      <c r="CA20" s="32"/>
      <c r="CB20" s="212"/>
      <c r="CC20" s="211">
        <v>105.09164969450102</v>
      </c>
      <c r="CD20" s="212"/>
      <c r="CE20" s="212"/>
      <c r="CF20" s="211">
        <v>104.45736434108525</v>
      </c>
      <c r="CG20" s="212"/>
      <c r="CH20" s="212"/>
      <c r="CI20" s="211">
        <v>100.39525691699605</v>
      </c>
      <c r="CJ20" s="212"/>
      <c r="CK20" s="212"/>
      <c r="CL20" s="211">
        <v>98.043052837573384</v>
      </c>
      <c r="CM20" s="212"/>
      <c r="CN20" s="212"/>
      <c r="CO20" s="212"/>
      <c r="CP20" s="211">
        <v>102.1818181818182</v>
      </c>
      <c r="CQ20" s="212"/>
      <c r="CR20" s="212"/>
      <c r="CS20" s="211">
        <v>94.18803418803418</v>
      </c>
      <c r="CT20" s="212"/>
      <c r="CU20" s="212"/>
      <c r="CV20" s="211">
        <v>105.65302144249513</v>
      </c>
      <c r="CW20" s="212"/>
      <c r="CX20" s="212"/>
      <c r="CY20" s="211">
        <v>94.010889292195998</v>
      </c>
      <c r="CZ20" s="212"/>
      <c r="DA20" s="212"/>
      <c r="DB20" s="211"/>
      <c r="DC20" s="211">
        <v>98.756660746003561</v>
      </c>
      <c r="DD20" s="212"/>
      <c r="DE20" s="211"/>
      <c r="DF20" s="211">
        <v>102.9038112522686</v>
      </c>
      <c r="DG20" s="211"/>
      <c r="DH20" s="211"/>
      <c r="DI20" s="211">
        <v>98.892988929889299</v>
      </c>
      <c r="DJ20" s="212"/>
      <c r="DK20" s="212"/>
      <c r="DL20" s="211">
        <v>94.401544401544399</v>
      </c>
      <c r="DM20" s="212"/>
      <c r="DN20" s="280"/>
      <c r="DO20" s="280"/>
      <c r="DP20" s="280">
        <v>93</v>
      </c>
      <c r="DQ20" s="280"/>
      <c r="DR20" s="265"/>
      <c r="DS20" s="282">
        <v>90.5</v>
      </c>
      <c r="DT20" s="265"/>
      <c r="DU20" s="265"/>
      <c r="DV20" s="282">
        <v>93.1</v>
      </c>
      <c r="DW20" s="265"/>
      <c r="DX20" s="265"/>
      <c r="DY20" s="282">
        <v>102.2</v>
      </c>
      <c r="DZ20" s="263"/>
      <c r="EA20" s="263"/>
      <c r="EB20" s="263"/>
      <c r="EC20" s="265">
        <v>100</v>
      </c>
      <c r="ED20" s="263"/>
      <c r="EE20" s="263"/>
      <c r="EF20" s="263">
        <v>101.2</v>
      </c>
      <c r="EG20" s="263"/>
      <c r="EH20" s="263"/>
      <c r="EI20" s="263"/>
      <c r="EJ20" s="263"/>
      <c r="EK20" s="263"/>
      <c r="EL20" s="267" t="s">
        <v>138</v>
      </c>
      <c r="EN20" s="263"/>
      <c r="EO20" s="263"/>
      <c r="EP20" s="267" t="s">
        <v>138</v>
      </c>
      <c r="EQ20" s="263"/>
      <c r="ER20" s="263"/>
      <c r="ES20" s="267" t="s">
        <v>138</v>
      </c>
      <c r="ET20" s="263"/>
      <c r="EU20" s="263"/>
      <c r="EV20" s="263"/>
      <c r="EW20" s="263"/>
      <c r="EX20" s="263"/>
      <c r="EY20" s="263"/>
    </row>
    <row r="21" spans="1:155">
      <c r="A21" s="212" t="s">
        <v>1</v>
      </c>
      <c r="B21" s="212"/>
      <c r="C21" s="212"/>
      <c r="D21" s="212"/>
      <c r="E21" s="212"/>
      <c r="F21" s="212"/>
      <c r="G21" s="212"/>
      <c r="H21" s="212"/>
      <c r="I21" s="212"/>
      <c r="J21" s="212"/>
      <c r="K21" s="212"/>
      <c r="L21" s="212"/>
      <c r="M21" s="212"/>
      <c r="N21" s="211">
        <v>8942.5</v>
      </c>
      <c r="O21" s="211">
        <f>17020.9-N21</f>
        <v>8078.4000000000015</v>
      </c>
      <c r="P21" s="211">
        <f>23994.9-N21-O21</f>
        <v>6974</v>
      </c>
      <c r="Q21" s="211">
        <f>30233.7-N21-O21-P21</f>
        <v>6238.7999999999993</v>
      </c>
      <c r="R21" s="211">
        <f>36536.4-N21-O21-P21-Q21</f>
        <v>6302.7000000000007</v>
      </c>
      <c r="S21" s="211">
        <f>42645.6-N21-O21-P21-Q21-R21</f>
        <v>6109.1999999999971</v>
      </c>
      <c r="T21" s="222">
        <f>49269.2-N21-O21-P21-Q21-R21-S21</f>
        <v>6623.5999999999985</v>
      </c>
      <c r="U21" s="211">
        <f>55594.4-N21-O21-P21-Q21-R21-S21-T21</f>
        <v>6325.2000000000044</v>
      </c>
      <c r="V21" s="211">
        <f>61851.4-N21-O21-P21-Q21-R21-S21-T21-U21</f>
        <v>6257</v>
      </c>
      <c r="W21" s="211">
        <f>68043.4-N21-O21-P21-Q21-R21-S21-T21-U21-V21</f>
        <v>6191.9999999999964</v>
      </c>
      <c r="X21" s="211">
        <f>79531.1-N21-O21-P21-Q21-R21-S21-T21-U21-V21-W21</f>
        <v>11487.700000000015</v>
      </c>
      <c r="Y21" s="211">
        <f>89420.7-N21-O21-P21-Q21-R21-S21-T21-U21-V21-W21-X21</f>
        <v>9889.5999999999767</v>
      </c>
      <c r="Z21" s="211"/>
      <c r="AA21" s="211">
        <v>10255.799999999999</v>
      </c>
      <c r="AB21" s="211">
        <f>19363.3-AA21</f>
        <v>9107.5</v>
      </c>
      <c r="AC21" s="211">
        <f>26415.9-AA21-AB21</f>
        <v>7052.6000000000022</v>
      </c>
      <c r="AD21" s="211">
        <f>32061.6-AA21-AB21-AC21</f>
        <v>5645.6999999999971</v>
      </c>
      <c r="AE21" s="211">
        <f>38920.2-AA21-AB21-AC21-AD21</f>
        <v>6858.5999999999985</v>
      </c>
      <c r="AF21" s="211">
        <f>45742-AA21-AB21-AC21-AD21-AE21</f>
        <v>6821.7999999999993</v>
      </c>
      <c r="AG21" s="222">
        <f>53379.8-AA21-AB21-AC21-AD21-AE21-AF21</f>
        <v>7637.8000000000029</v>
      </c>
      <c r="AH21" s="211">
        <f>62367.3-AA21-AB21-AC21-AD21-AE21-AF21-AG21</f>
        <v>8987.4999999999964</v>
      </c>
      <c r="AI21" s="211">
        <f>72401.7-AA21-AB21-AC21-AD21-AE21-AF21-AG21-AH21</f>
        <v>10034.399999999994</v>
      </c>
      <c r="AJ21" s="211">
        <f>81660.1-AA21-AB21-AC21-AD21-AE21-AF21-AG21-AH21-AI21</f>
        <v>9258.4000000000124</v>
      </c>
      <c r="AK21" s="211">
        <f>88730.3-AA21-AB21-AC21-AD21-AE21-AF21-AG21-AH21-AI21-AJ21</f>
        <v>7070.1999999999971</v>
      </c>
      <c r="AL21" s="211">
        <f>96553.6-AA21-AB21-AC21-AD21-AE21-AF21-AG21-AH21-AI21-AJ21-AK21</f>
        <v>7823.2999999999993</v>
      </c>
      <c r="AM21" s="222"/>
      <c r="AN21" s="211">
        <v>8297.7999999999993</v>
      </c>
      <c r="AO21" s="211">
        <f>16414.6-AN21</f>
        <v>8116.7999999999993</v>
      </c>
      <c r="AP21" s="211">
        <f>22748.4-AN21-AO21</f>
        <v>6333.8000000000029</v>
      </c>
      <c r="AQ21" s="211">
        <f>28929.2-AN21-AO21-AP21</f>
        <v>6180.7999999999993</v>
      </c>
      <c r="AR21" s="211">
        <f>35952.5-AN21-AO21-AP21-AQ21</f>
        <v>7023.2999999999993</v>
      </c>
      <c r="AS21" s="211">
        <f>43007-AN21-AO21-AP21-AQ21-AR21</f>
        <v>7054.4999999999964</v>
      </c>
      <c r="AT21" s="222">
        <f>49311.9-AN21-AO21-AP21-AQ21-AR21-AS21</f>
        <v>6304.9000000000051</v>
      </c>
      <c r="AU21" s="211">
        <f>55563.4-AN21-AO21-AP21-AQ21-AR21-AS21-AT21</f>
        <v>6251.5</v>
      </c>
      <c r="AV21" s="211">
        <f>64779-AN21-AO21-AP21-AQ21-AR21-AS21-AT21-AU21</f>
        <v>9215.5999999999876</v>
      </c>
      <c r="AW21" s="211">
        <f>76585.3-AN21-AO21-AP21-AQ21-AR21-AS21-AT21-AU21-AV21</f>
        <v>11806.299999999996</v>
      </c>
      <c r="AX21" s="211">
        <f>86349.2-AN21-AO21-AP21-AQ21-AR21-AS21-AT21-AU21-AV21-AW21</f>
        <v>9763.8999999999905</v>
      </c>
      <c r="AY21" s="211">
        <f>96897.6-AN21-AO21-AP21-AQ21-AR21-AS21-AT21-AU21-AV21-AW21-AX21</f>
        <v>10548.400000000009</v>
      </c>
      <c r="AZ21" s="211"/>
      <c r="BA21" s="211">
        <v>10231.1</v>
      </c>
      <c r="BB21" s="211">
        <f>19148.1-BA21</f>
        <v>8916.9999999999982</v>
      </c>
      <c r="BC21" s="211">
        <f>26140.7-BA21-BB21</f>
        <v>6992.6000000000022</v>
      </c>
      <c r="BD21" s="211">
        <f>33231.4-BA21-BB21-BC21</f>
        <v>7090.7000000000025</v>
      </c>
      <c r="BE21" s="211">
        <f>40935.9-BA21-BB21-BC21-BD21</f>
        <v>7704.4999999999982</v>
      </c>
      <c r="BF21" s="211">
        <f>48318.3-BA21-BB21-BC21-BD21-BE21</f>
        <v>7382.4000000000015</v>
      </c>
      <c r="BG21" s="211">
        <f>55431.3-BA21-BB21-BC21-BD21-BE21-BF21</f>
        <v>7113.0000000000018</v>
      </c>
      <c r="BH21" s="211">
        <f>61883.1-BA21-BB21-BC21-BD21-BE21-BF21-BG21</f>
        <v>6451.7999999999865</v>
      </c>
      <c r="BI21" s="211">
        <f>68809-BB21-BC21-BD21-BE21-BF21-BG21-BH21-BA21</f>
        <v>6925.9</v>
      </c>
      <c r="BJ21" s="211">
        <f>76033.7-BA21-BB21-BC21-BE21-BD21-BF21-BG21-BH21-BI21</f>
        <v>7224.6999999999935</v>
      </c>
      <c r="BK21" s="211">
        <f>83957.3-BA21-BB21-BC21-BD21-BE21-BF21-BG21-BH21-BI21-BJ21</f>
        <v>7923.600000000004</v>
      </c>
      <c r="BL21" s="211">
        <f>93197.1-BA21-BB21-BC21-BD21-BE21-BF21-BG21-BH21-BI21-BJ21-BK21</f>
        <v>9239.8000000000011</v>
      </c>
      <c r="BM21" s="211"/>
      <c r="BN21" s="211">
        <v>11466.7</v>
      </c>
      <c r="BO21" s="211">
        <f>12140.8</f>
        <v>12140.8</v>
      </c>
      <c r="BP21" s="212">
        <v>10826.6</v>
      </c>
      <c r="BQ21" s="212">
        <v>9960.4</v>
      </c>
      <c r="BR21" s="212">
        <v>11379.6</v>
      </c>
      <c r="BS21" s="211">
        <v>11743.6</v>
      </c>
      <c r="BT21" s="212">
        <v>11155.4</v>
      </c>
      <c r="BU21" s="212">
        <v>10963.2</v>
      </c>
      <c r="BV21" s="212">
        <v>9716.5</v>
      </c>
      <c r="BW21" s="211">
        <f>+BX21/(1+0.132)</f>
        <v>11350.441696113074</v>
      </c>
      <c r="BX21" s="212">
        <v>12848.7</v>
      </c>
      <c r="BY21" s="212">
        <v>17688.8</v>
      </c>
      <c r="BZ21" s="212"/>
      <c r="CA21" s="212">
        <v>16351</v>
      </c>
      <c r="CB21" s="212">
        <v>16639.099999999999</v>
      </c>
      <c r="CC21" s="212">
        <v>14364.6</v>
      </c>
      <c r="CD21" s="212">
        <v>11905.4</v>
      </c>
      <c r="CE21" s="212">
        <v>11985.6</v>
      </c>
      <c r="CF21" s="212">
        <v>12526.5</v>
      </c>
      <c r="CG21" s="212">
        <v>12489.5</v>
      </c>
      <c r="CH21" s="281">
        <v>11943.5</v>
      </c>
      <c r="CI21" s="212">
        <v>12326</v>
      </c>
      <c r="CJ21" s="212">
        <v>16991.599999999999</v>
      </c>
      <c r="CK21" s="212">
        <v>19570.8</v>
      </c>
      <c r="CL21" s="212">
        <v>18936.099999999999</v>
      </c>
      <c r="CM21" s="212"/>
      <c r="CN21" s="212">
        <v>21853.5</v>
      </c>
      <c r="CO21" s="212">
        <v>18025.3</v>
      </c>
      <c r="CP21" s="212">
        <v>14905.4</v>
      </c>
      <c r="CQ21" s="212">
        <v>10002.9</v>
      </c>
      <c r="CR21" s="212">
        <v>10224.799999999999</v>
      </c>
      <c r="CS21" s="212">
        <v>13880.8</v>
      </c>
      <c r="CT21" s="212">
        <v>15020.8</v>
      </c>
      <c r="CU21" s="212">
        <v>14888.1</v>
      </c>
      <c r="CV21" s="212">
        <v>16442.2</v>
      </c>
      <c r="CW21" s="212">
        <v>24345.7</v>
      </c>
      <c r="CX21" s="212">
        <v>23523.8</v>
      </c>
      <c r="CY21" s="212">
        <v>31377</v>
      </c>
      <c r="CZ21" s="212"/>
      <c r="DA21" s="212">
        <v>17915.599999999999</v>
      </c>
      <c r="DB21" s="212">
        <v>14854.7</v>
      </c>
      <c r="DC21" s="212">
        <v>14690.6</v>
      </c>
      <c r="DD21" s="212">
        <v>13850.3</v>
      </c>
      <c r="DE21" s="212">
        <v>12759</v>
      </c>
      <c r="DF21" s="212">
        <v>11325.3</v>
      </c>
      <c r="DG21" s="212">
        <v>13586.2</v>
      </c>
      <c r="DH21" s="212">
        <v>15508.8</v>
      </c>
      <c r="DI21" s="212">
        <v>15894.2</v>
      </c>
      <c r="DJ21" s="212">
        <v>19585.8</v>
      </c>
      <c r="DK21" s="212">
        <v>17376.2</v>
      </c>
      <c r="DL21" s="212">
        <v>19222.5</v>
      </c>
      <c r="DM21" s="212"/>
      <c r="DN21" s="265">
        <v>15809.7</v>
      </c>
      <c r="DO21" s="265">
        <v>14484.2</v>
      </c>
      <c r="DP21" s="265">
        <v>15162</v>
      </c>
      <c r="DQ21" s="265">
        <v>17404</v>
      </c>
      <c r="DR21" s="265">
        <v>19487.599999999999</v>
      </c>
      <c r="DS21" s="265">
        <v>17736</v>
      </c>
      <c r="DT21" s="265">
        <v>15902.4</v>
      </c>
      <c r="DU21" s="265">
        <v>20375.5</v>
      </c>
      <c r="DV21" s="265">
        <v>19366.8</v>
      </c>
      <c r="DW21" s="265">
        <v>18650.099999999999</v>
      </c>
      <c r="DX21" s="265">
        <v>20237.3</v>
      </c>
      <c r="DY21" s="267">
        <v>22322.3</v>
      </c>
      <c r="DZ21" s="263"/>
      <c r="EA21" s="265">
        <v>20857.5</v>
      </c>
      <c r="EB21" s="263">
        <v>18499</v>
      </c>
      <c r="EC21" s="263">
        <v>17855.599999999999</v>
      </c>
      <c r="ED21" s="263">
        <v>18632.900000000001</v>
      </c>
      <c r="EE21" s="263">
        <v>16237.4</v>
      </c>
      <c r="EF21" s="263">
        <v>15377.6</v>
      </c>
      <c r="EG21" s="263">
        <v>16793.5</v>
      </c>
      <c r="EH21" s="263">
        <v>17415.8</v>
      </c>
      <c r="EI21" s="263">
        <v>16277.4</v>
      </c>
      <c r="EJ21" s="263">
        <v>16948.2</v>
      </c>
      <c r="EK21" s="263">
        <v>17881.099999999999</v>
      </c>
      <c r="EL21" s="263">
        <v>19876.900000000001</v>
      </c>
      <c r="EN21" s="265">
        <v>22272.1</v>
      </c>
      <c r="EO21" s="263">
        <v>18588.7</v>
      </c>
      <c r="EP21" s="263">
        <v>21774</v>
      </c>
      <c r="EQ21" s="263">
        <v>15318.3</v>
      </c>
      <c r="ER21" s="263">
        <v>15930.2</v>
      </c>
      <c r="ES21" s="263">
        <v>14765.6</v>
      </c>
      <c r="ET21" s="263">
        <v>19291.7</v>
      </c>
      <c r="EU21" s="263"/>
      <c r="EV21" s="263"/>
      <c r="EW21" s="263"/>
      <c r="EX21" s="263"/>
      <c r="EY21" s="263"/>
    </row>
    <row r="22" spans="1:155">
      <c r="A22" s="212" t="s">
        <v>2</v>
      </c>
      <c r="B22" s="212"/>
      <c r="C22" s="212"/>
      <c r="D22" s="212"/>
      <c r="E22" s="212"/>
      <c r="F22" s="212"/>
      <c r="G22" s="212"/>
      <c r="H22" s="212"/>
      <c r="I22" s="212"/>
      <c r="J22" s="212"/>
      <c r="K22" s="212"/>
      <c r="L22" s="212"/>
      <c r="M22" s="212"/>
      <c r="N22" s="211">
        <v>47993.3</v>
      </c>
      <c r="O22" s="211">
        <v>53773.7</v>
      </c>
      <c r="P22" s="211">
        <v>57216</v>
      </c>
      <c r="Q22" s="211">
        <v>68631.700000000012</v>
      </c>
      <c r="R22" s="211">
        <v>66924.200000000012</v>
      </c>
      <c r="S22" s="211">
        <v>70031.599999999977</v>
      </c>
      <c r="T22" s="222">
        <v>69914.900000000023</v>
      </c>
      <c r="U22" s="211">
        <v>75468.599999999977</v>
      </c>
      <c r="V22" s="211">
        <v>74418.199999999953</v>
      </c>
      <c r="W22" s="211">
        <v>84389</v>
      </c>
      <c r="X22" s="211">
        <v>95516.600000000093</v>
      </c>
      <c r="Y22" s="211">
        <v>170101.79999999993</v>
      </c>
      <c r="Z22" s="211"/>
      <c r="AA22" s="211">
        <v>57835.7</v>
      </c>
      <c r="AB22" s="211">
        <v>63092.600000000006</v>
      </c>
      <c r="AC22" s="211">
        <v>63413.3</v>
      </c>
      <c r="AD22" s="211">
        <v>69250.5</v>
      </c>
      <c r="AE22" s="211">
        <v>78326.600000000006</v>
      </c>
      <c r="AF22" s="211">
        <v>80974.700000000012</v>
      </c>
      <c r="AG22" s="222">
        <v>87107.399999999965</v>
      </c>
      <c r="AH22" s="211">
        <v>93638.399999999965</v>
      </c>
      <c r="AI22" s="211">
        <v>96419.5</v>
      </c>
      <c r="AJ22" s="211">
        <v>103325.10000000009</v>
      </c>
      <c r="AK22" s="211">
        <v>96244.899999999907</v>
      </c>
      <c r="AL22" s="211">
        <v>169942.5</v>
      </c>
      <c r="AM22" s="222"/>
      <c r="AN22" s="211">
        <v>61974</v>
      </c>
      <c r="AO22" s="211">
        <v>63830.899999999994</v>
      </c>
      <c r="AP22" s="211">
        <v>67107.399999999994</v>
      </c>
      <c r="AQ22" s="211">
        <v>69298.200000000012</v>
      </c>
      <c r="AR22" s="211">
        <v>73298.200000000012</v>
      </c>
      <c r="AS22" s="211">
        <v>78015.099999999977</v>
      </c>
      <c r="AT22" s="222">
        <v>86845.400000000023</v>
      </c>
      <c r="AU22" s="211">
        <v>95757.999999999942</v>
      </c>
      <c r="AV22" s="211">
        <v>101508.80000000005</v>
      </c>
      <c r="AW22" s="211">
        <v>99494</v>
      </c>
      <c r="AX22" s="211">
        <v>100813.40000000002</v>
      </c>
      <c r="AY22" s="211">
        <v>177130.49999999988</v>
      </c>
      <c r="AZ22" s="211"/>
      <c r="BA22" s="211">
        <f>(61556.6*(1/1000))*1000</f>
        <v>61556.600000000006</v>
      </c>
      <c r="BB22" s="211">
        <f>(74656.3*(1/1000))*1000</f>
        <v>74656.3</v>
      </c>
      <c r="BC22" s="211">
        <f>(74714.8*(1/1000))*1000</f>
        <v>74714.800000000017</v>
      </c>
      <c r="BD22" s="211">
        <f>(78375.7*(1/1000))*1000</f>
        <v>78375.7</v>
      </c>
      <c r="BE22" s="211">
        <f>(77741.4*(1/1000))*1000</f>
        <v>77741.399999999994</v>
      </c>
      <c r="BF22" s="211">
        <f>(81683.3*(1/1000))*1000</f>
        <v>81683.3</v>
      </c>
      <c r="BG22" s="211">
        <f>(89140.4*(1/1000))*1000</f>
        <v>89140.4</v>
      </c>
      <c r="BH22" s="211">
        <f>641539.7-BA22-BB22-BC22-BD22-BE22-BF22-BG22</f>
        <v>103671.20000000004</v>
      </c>
      <c r="BI22" s="211">
        <f>751838.5-BB22-BC22-BD22-BE22-BF22-BG22-BH22-BA22</f>
        <v>110298.79999999993</v>
      </c>
      <c r="BJ22" s="211">
        <f>859230-BA22-BB22-BC22-BD22-BE22-BF22-BG22-BH22-BI22</f>
        <v>107391.50000000003</v>
      </c>
      <c r="BK22" s="211">
        <f>967325.9-BA22-BB22-BC22-BD22-BE22-BF22-BG22-BH22-BI22-BJ22</f>
        <v>108095.9</v>
      </c>
      <c r="BL22" s="211">
        <f>1159766.6-BB22-BC22-BD22-BE22-BF22-BG22-BH22-BI22-BJ22-BK22-BA22</f>
        <v>192440.69999999995</v>
      </c>
      <c r="BM22" s="211"/>
      <c r="BN22" s="212">
        <v>67916.2</v>
      </c>
      <c r="BO22" s="212">
        <v>80178.8</v>
      </c>
      <c r="BP22" s="212">
        <v>88444</v>
      </c>
      <c r="BQ22" s="212">
        <v>88547.6</v>
      </c>
      <c r="BR22" s="212">
        <v>95321.4</v>
      </c>
      <c r="BS22" s="211">
        <v>92251.8</v>
      </c>
      <c r="BT22" s="212">
        <v>103073</v>
      </c>
      <c r="BU22" s="212">
        <v>115275</v>
      </c>
      <c r="BV22" s="212">
        <v>116995.6</v>
      </c>
      <c r="BW22" s="212">
        <v>114710.3</v>
      </c>
      <c r="BX22" s="212">
        <v>117959.9</v>
      </c>
      <c r="BY22" s="211">
        <v>214132.5</v>
      </c>
      <c r="BZ22" s="211"/>
      <c r="CA22" s="211">
        <v>72026.600000000006</v>
      </c>
      <c r="CB22" s="212">
        <v>83595.3</v>
      </c>
      <c r="CC22" s="212">
        <v>91065</v>
      </c>
      <c r="CD22" s="212">
        <v>93297.9</v>
      </c>
      <c r="CE22" s="212">
        <v>100350.1</v>
      </c>
      <c r="CF22" s="212">
        <v>99881.4</v>
      </c>
      <c r="CG22" s="212">
        <v>107184.2</v>
      </c>
      <c r="CH22" s="212">
        <v>117714.6</v>
      </c>
      <c r="CI22" s="212">
        <v>125531.2</v>
      </c>
      <c r="CJ22" s="212">
        <v>122771.2</v>
      </c>
      <c r="CK22" s="212">
        <v>125995.1</v>
      </c>
      <c r="CL22" s="212">
        <v>238609.6</v>
      </c>
      <c r="CM22" s="212"/>
      <c r="CN22" s="212">
        <v>78154.100000000006</v>
      </c>
      <c r="CO22" s="212">
        <v>90511.7</v>
      </c>
      <c r="CP22" s="212">
        <v>98863.5</v>
      </c>
      <c r="CQ22" s="212">
        <v>98911.9</v>
      </c>
      <c r="CR22" s="212">
        <v>105841.3</v>
      </c>
      <c r="CS22" s="212">
        <v>106202.5</v>
      </c>
      <c r="CT22" s="212">
        <v>114923.4</v>
      </c>
      <c r="CU22" s="212">
        <v>124706.6</v>
      </c>
      <c r="CV22" s="212">
        <v>130846.6</v>
      </c>
      <c r="CW22" s="212">
        <v>128059.9</v>
      </c>
      <c r="CX22" s="212">
        <v>131261.9</v>
      </c>
      <c r="CY22" s="212">
        <v>246397.4</v>
      </c>
      <c r="CZ22" s="212"/>
      <c r="DA22" s="212">
        <v>80756</v>
      </c>
      <c r="DB22" s="212">
        <v>94570.5</v>
      </c>
      <c r="DC22" s="212">
        <v>102072.1</v>
      </c>
      <c r="DD22" s="212">
        <v>104001.9</v>
      </c>
      <c r="DE22" s="212">
        <v>110256.8</v>
      </c>
      <c r="DF22" s="212">
        <v>115124.2</v>
      </c>
      <c r="DG22" s="212">
        <v>118558.5</v>
      </c>
      <c r="DH22" s="212">
        <v>128784.7</v>
      </c>
      <c r="DI22" s="212">
        <v>131661.9</v>
      </c>
      <c r="DJ22" s="212">
        <v>129155.1</v>
      </c>
      <c r="DK22" s="212">
        <v>129901.7</v>
      </c>
      <c r="DL22" s="212">
        <v>221247.2</v>
      </c>
      <c r="DM22" s="212"/>
      <c r="DN22" s="265">
        <v>78670.8</v>
      </c>
      <c r="DO22" s="265">
        <v>91312.6</v>
      </c>
      <c r="DP22" s="265">
        <v>101140.4</v>
      </c>
      <c r="DQ22" s="265">
        <v>100413.9</v>
      </c>
      <c r="DR22" s="265">
        <v>105841.8</v>
      </c>
      <c r="DS22" s="265">
        <v>113540.8</v>
      </c>
      <c r="DT22" s="265">
        <v>117793.4</v>
      </c>
      <c r="DU22" s="265">
        <v>119854.7</v>
      </c>
      <c r="DV22" s="265">
        <v>117545.1</v>
      </c>
      <c r="DW22" s="265">
        <v>115845</v>
      </c>
      <c r="DX22" s="265">
        <v>111218.3</v>
      </c>
      <c r="DY22" s="265">
        <v>178849</v>
      </c>
      <c r="DZ22" s="263"/>
      <c r="EA22" s="265">
        <v>72132.899999999994</v>
      </c>
      <c r="EB22" s="263">
        <v>83798.100000000006</v>
      </c>
      <c r="EC22" s="263">
        <v>92863.4</v>
      </c>
      <c r="ED22" s="263">
        <v>92594.2</v>
      </c>
      <c r="EE22" s="263">
        <v>98231.1</v>
      </c>
      <c r="EF22" s="263">
        <v>106391.6</v>
      </c>
      <c r="EG22" s="263">
        <v>107655.3</v>
      </c>
      <c r="EH22" s="263">
        <v>107246.5</v>
      </c>
      <c r="EI22" s="263">
        <v>107549.5</v>
      </c>
      <c r="EJ22" s="263">
        <v>106658.9</v>
      </c>
      <c r="EK22" s="263">
        <v>105503.9</v>
      </c>
      <c r="EL22" s="263">
        <v>172666.8</v>
      </c>
      <c r="EN22" s="265">
        <v>74201.5</v>
      </c>
      <c r="EO22" s="263">
        <v>87788.6</v>
      </c>
      <c r="EP22" s="263">
        <v>99905.7</v>
      </c>
      <c r="EQ22" s="263">
        <v>99556.7</v>
      </c>
      <c r="ER22" s="263">
        <v>108538.5</v>
      </c>
      <c r="ES22" s="263">
        <v>110302</v>
      </c>
      <c r="ET22" s="263">
        <v>109272.2</v>
      </c>
      <c r="EU22" s="263"/>
      <c r="EV22" s="263"/>
      <c r="EW22" s="263"/>
      <c r="EX22" s="263"/>
      <c r="EY22" s="263"/>
    </row>
    <row r="23" spans="1:155" ht="12.75" customHeight="1">
      <c r="A23" s="212" t="s">
        <v>106</v>
      </c>
      <c r="B23" s="212"/>
      <c r="C23" s="212"/>
      <c r="D23" s="212"/>
      <c r="E23" s="212"/>
      <c r="F23" s="212"/>
      <c r="G23" s="212"/>
      <c r="H23" s="212"/>
      <c r="I23" s="212"/>
      <c r="J23" s="212"/>
      <c r="K23" s="212"/>
      <c r="L23" s="212"/>
      <c r="M23" s="212"/>
      <c r="N23" s="211">
        <v>25.1</v>
      </c>
      <c r="O23" s="211">
        <v>25.5</v>
      </c>
      <c r="P23" s="211">
        <f t="shared" ref="P23:Y25" si="0">P26/D26*100-100</f>
        <v>21.485258856506022</v>
      </c>
      <c r="Q23" s="211">
        <f t="shared" si="0"/>
        <v>17.188203511931562</v>
      </c>
      <c r="R23" s="211">
        <f t="shared" si="0"/>
        <v>15.114996849401379</v>
      </c>
      <c r="S23" s="211">
        <f t="shared" si="0"/>
        <v>17.137964548525943</v>
      </c>
      <c r="T23" s="211">
        <f t="shared" si="0"/>
        <v>20.068220579874918</v>
      </c>
      <c r="U23" s="211">
        <f t="shared" si="0"/>
        <v>21.881726430587207</v>
      </c>
      <c r="V23" s="211">
        <f t="shared" si="0"/>
        <v>19.734246701019885</v>
      </c>
      <c r="W23" s="211">
        <f t="shared" si="0"/>
        <v>22.722568863186737</v>
      </c>
      <c r="X23" s="211">
        <f t="shared" si="0"/>
        <v>19.451993762530634</v>
      </c>
      <c r="Y23" s="211">
        <f t="shared" si="0"/>
        <v>24.961260638424676</v>
      </c>
      <c r="Z23" s="212"/>
      <c r="AA23" s="211">
        <f t="shared" ref="AA23:AL25" si="1">AA26/N26*100-100</f>
        <v>22.616655503460592</v>
      </c>
      <c r="AB23" s="211">
        <f t="shared" si="1"/>
        <v>20.765836339854246</v>
      </c>
      <c r="AC23" s="211">
        <f t="shared" si="1"/>
        <v>21.970644650154284</v>
      </c>
      <c r="AD23" s="211">
        <f t="shared" si="1"/>
        <v>23.254250312169816</v>
      </c>
      <c r="AE23" s="211">
        <f t="shared" si="1"/>
        <v>20.255901471091349</v>
      </c>
      <c r="AF23" s="211">
        <f t="shared" si="1"/>
        <v>21.342025549848543</v>
      </c>
      <c r="AG23" s="211">
        <f t="shared" si="1"/>
        <v>20.911832137161085</v>
      </c>
      <c r="AH23" s="211">
        <f t="shared" si="1"/>
        <v>17.813272634511975</v>
      </c>
      <c r="AI23" s="211">
        <f t="shared" si="1"/>
        <v>18.342379158419007</v>
      </c>
      <c r="AJ23" s="211">
        <f t="shared" si="1"/>
        <v>17.027318609640261</v>
      </c>
      <c r="AK23" s="211">
        <f t="shared" si="1"/>
        <v>16.444742829435683</v>
      </c>
      <c r="AL23" s="211">
        <f t="shared" si="1"/>
        <v>14.813754948252011</v>
      </c>
      <c r="AM23" s="222"/>
      <c r="AN23" s="211">
        <f t="shared" ref="AN23:AS23" si="2">AN26/AA26*100-100</f>
        <v>13.517844136926442</v>
      </c>
      <c r="AO23" s="211">
        <f t="shared" si="2"/>
        <v>16.546454331214733</v>
      </c>
      <c r="AP23" s="211">
        <f t="shared" si="2"/>
        <v>11.027543217895669</v>
      </c>
      <c r="AQ23" s="211">
        <f t="shared" si="2"/>
        <v>10.614089775561084</v>
      </c>
      <c r="AR23" s="211">
        <f t="shared" si="2"/>
        <v>12.468564015612742</v>
      </c>
      <c r="AS23" s="211">
        <f t="shared" si="2"/>
        <v>8.4983990882943488</v>
      </c>
      <c r="AT23" s="211">
        <f t="shared" ref="AT23:BA23" si="3">AT26/AG26*100-100</f>
        <v>10.263914508599626</v>
      </c>
      <c r="AU23" s="211">
        <f t="shared" si="3"/>
        <v>9.6580057739285081</v>
      </c>
      <c r="AV23" s="211">
        <f t="shared" si="3"/>
        <v>8.6664220658695683</v>
      </c>
      <c r="AW23" s="211">
        <f t="shared" si="3"/>
        <v>8.6243801127453139</v>
      </c>
      <c r="AX23" s="211">
        <f t="shared" si="3"/>
        <v>10.402519752295532</v>
      </c>
      <c r="AY23" s="211">
        <f t="shared" si="3"/>
        <v>8.7467287002035476</v>
      </c>
      <c r="AZ23" s="211"/>
      <c r="BA23" s="211">
        <f t="shared" si="3"/>
        <v>6.4555797938320723</v>
      </c>
      <c r="BB23" s="211">
        <f t="shared" ref="BB23:CU25" si="4">BB26/AO26*100-100</f>
        <v>4.5465686274509807</v>
      </c>
      <c r="BC23" s="211">
        <f t="shared" ref="BC23:CU23" si="5">BC26/AP26*100-100</f>
        <v>8.9243559478600076</v>
      </c>
      <c r="BD23" s="211">
        <f t="shared" si="5"/>
        <v>5.7650113730147439</v>
      </c>
      <c r="BE23" s="211">
        <f t="shared" si="5"/>
        <v>5.7318331748183766</v>
      </c>
      <c r="BF23" s="211">
        <f t="shared" si="5"/>
        <v>8.8941129395288385</v>
      </c>
      <c r="BG23" s="211">
        <f t="shared" si="5"/>
        <v>5.8888400826175911</v>
      </c>
      <c r="BH23" s="211">
        <f t="shared" si="5"/>
        <v>7.2804228518195941</v>
      </c>
      <c r="BI23" s="211">
        <f t="shared" si="5"/>
        <v>6.089434850395719</v>
      </c>
      <c r="BJ23" s="211">
        <f t="shared" si="5"/>
        <v>4.5526821511837881</v>
      </c>
      <c r="BK23" s="211">
        <f t="shared" si="5"/>
        <v>4.4350744175700925</v>
      </c>
      <c r="BL23" s="211">
        <f t="shared" si="5"/>
        <v>4.4586035922471012</v>
      </c>
      <c r="BM23" s="211"/>
      <c r="BN23" s="211">
        <f t="shared" si="5"/>
        <v>5.74568320392153</v>
      </c>
      <c r="BO23" s="211">
        <f t="shared" si="5"/>
        <v>5.4214042902356141</v>
      </c>
      <c r="BP23" s="211">
        <f t="shared" si="5"/>
        <v>5.0506478209658496</v>
      </c>
      <c r="BQ23" s="211">
        <f t="shared" si="5"/>
        <v>7.2740422130445523</v>
      </c>
      <c r="BR23" s="211">
        <f t="shared" si="5"/>
        <v>5.8689556837864529</v>
      </c>
      <c r="BS23" s="211">
        <f t="shared" si="5"/>
        <v>6.6509884618211288</v>
      </c>
      <c r="BT23" s="211">
        <f t="shared" si="5"/>
        <v>4.49691085613415</v>
      </c>
      <c r="BU23" s="211">
        <f t="shared" si="5"/>
        <v>7.1789934684939709</v>
      </c>
      <c r="BV23" s="211">
        <f t="shared" si="5"/>
        <v>6.7667624565903139</v>
      </c>
      <c r="BW23" s="211">
        <f t="shared" si="5"/>
        <v>6.2307563119296816</v>
      </c>
      <c r="BX23" s="211">
        <f t="shared" si="5"/>
        <v>5.5376010519590011</v>
      </c>
      <c r="BY23" s="211">
        <f t="shared" si="5"/>
        <v>7.3181256353809516</v>
      </c>
      <c r="BZ23" s="212"/>
      <c r="CA23" s="211">
        <f t="shared" si="5"/>
        <v>32.485062646642547</v>
      </c>
      <c r="CB23" s="211">
        <f t="shared" si="5"/>
        <v>29.531513500491116</v>
      </c>
      <c r="CC23" s="211">
        <f t="shared" si="5"/>
        <v>29.10526079741669</v>
      </c>
      <c r="CD23" s="211">
        <f t="shared" si="5"/>
        <v>28.257784085868906</v>
      </c>
      <c r="CE23" s="211">
        <f t="shared" si="5"/>
        <v>34.049822836069126</v>
      </c>
      <c r="CF23" s="211">
        <f t="shared" si="5"/>
        <v>26.001757166482918</v>
      </c>
      <c r="CG23" s="211">
        <f t="shared" si="5"/>
        <v>29.784196967777376</v>
      </c>
      <c r="CH23" s="211">
        <f t="shared" si="5"/>
        <v>29.838667065889354</v>
      </c>
      <c r="CI23" s="211">
        <f t="shared" si="5"/>
        <v>28.70243731369456</v>
      </c>
      <c r="CJ23" s="211">
        <f t="shared" si="5"/>
        <v>31.407216132658789</v>
      </c>
      <c r="CK23" s="211">
        <f t="shared" si="5"/>
        <v>31.096175275732861</v>
      </c>
      <c r="CL23" s="211">
        <f t="shared" si="5"/>
        <v>23.062663986097377</v>
      </c>
      <c r="CM23" s="212"/>
      <c r="CN23" s="211">
        <f t="shared" si="5"/>
        <v>4.4539725104143457</v>
      </c>
      <c r="CO23" s="211">
        <f t="shared" si="5"/>
        <v>5.6576509553411256</v>
      </c>
      <c r="CP23" s="211">
        <f t="shared" si="5"/>
        <v>3.778146776625249</v>
      </c>
      <c r="CQ23" s="211">
        <f t="shared" si="5"/>
        <v>5.3414946225403668</v>
      </c>
      <c r="CR23" s="211">
        <f t="shared" si="5"/>
        <v>2.4011813731439844</v>
      </c>
      <c r="CS23" s="211">
        <f t="shared" si="5"/>
        <v>5.803818625540913</v>
      </c>
      <c r="CT23" s="211">
        <f t="shared" si="5"/>
        <v>7.0949771570630844</v>
      </c>
      <c r="CU23" s="211">
        <f t="shared" si="5"/>
        <v>7.4831962126196316</v>
      </c>
      <c r="CV23" s="211">
        <f t="shared" ref="CV23:CY25" si="6">CV26/CI26*100-100</f>
        <v>8.0838976007847663</v>
      </c>
      <c r="CW23" s="211">
        <f t="shared" si="6"/>
        <v>6.6163152090365145</v>
      </c>
      <c r="CX23" s="211">
        <f t="shared" si="6"/>
        <v>7.0564691551379184</v>
      </c>
      <c r="CY23" s="211">
        <f t="shared" si="6"/>
        <v>8.0276448697501337</v>
      </c>
      <c r="CZ23" s="211"/>
      <c r="DA23" s="211">
        <f t="shared" ref="DA23:DC25" si="7">DA26/CN26*100-100</f>
        <v>7.0406293115874803</v>
      </c>
      <c r="DB23" s="211">
        <f t="shared" si="7"/>
        <v>6.4399940420576627</v>
      </c>
      <c r="DC23" s="211">
        <f t="shared" si="7"/>
        <v>7.8857341786558379</v>
      </c>
      <c r="DD23" s="211">
        <f t="shared" ref="DD23:DG25" si="8">DD26/CQ26*100-100</f>
        <v>6.1218058145337011</v>
      </c>
      <c r="DE23" s="211">
        <f t="shared" si="8"/>
        <v>7.4284058658132608</v>
      </c>
      <c r="DF23" s="211">
        <f t="shared" si="8"/>
        <v>7.7300304316644457</v>
      </c>
      <c r="DG23" s="211">
        <f t="shared" si="8"/>
        <v>9.315143412737001</v>
      </c>
      <c r="DH23" s="211">
        <f t="shared" ref="DH23:DI25" si="9">DH26/CU26*100-100</f>
        <v>7.8879283145074908</v>
      </c>
      <c r="DI23" s="211">
        <f t="shared" si="9"/>
        <v>8.6231998235275569</v>
      </c>
      <c r="DJ23" s="211">
        <f t="shared" ref="DJ23:DK25" si="10">DJ26/CW26*100-100</f>
        <v>9.4762842132978875</v>
      </c>
      <c r="DK23" s="211">
        <f t="shared" si="10"/>
        <v>9.5616184855456652</v>
      </c>
      <c r="DL23" s="211">
        <f t="shared" ref="DL23:DO25" si="11">DL26/CY26*100-100</f>
        <v>10.721169619422582</v>
      </c>
      <c r="DM23" s="211"/>
      <c r="DN23" s="265">
        <f t="shared" si="11"/>
        <v>11.079261254328586</v>
      </c>
      <c r="DO23" s="265">
        <f t="shared" si="11"/>
        <v>10.394748559288615</v>
      </c>
      <c r="DP23" s="265">
        <f t="shared" ref="DP23:DW25" si="12">DP26/DC26*100-100</f>
        <v>11.642569035060518</v>
      </c>
      <c r="DQ23" s="265">
        <f t="shared" si="12"/>
        <v>12.5563007325282</v>
      </c>
      <c r="DR23" s="265">
        <f t="shared" si="12"/>
        <v>10.132766145245924</v>
      </c>
      <c r="DS23" s="265">
        <f t="shared" si="12"/>
        <v>8.5475929157895223</v>
      </c>
      <c r="DT23" s="265">
        <f t="shared" si="12"/>
        <v>9.3757817320681056</v>
      </c>
      <c r="DU23" s="265">
        <f t="shared" si="12"/>
        <v>7.1901503187693692</v>
      </c>
      <c r="DV23" s="265">
        <f t="shared" si="12"/>
        <v>6.2484406459062143</v>
      </c>
      <c r="DW23" s="265">
        <f t="shared" si="12"/>
        <v>3.8716142701712215</v>
      </c>
      <c r="DX23" s="265">
        <f t="shared" ref="DX23:EC25" si="13">DX26/DK26*100-100</f>
        <v>2.7760975999452171</v>
      </c>
      <c r="DY23" s="265">
        <f t="shared" si="13"/>
        <v>3.1631679831100286</v>
      </c>
      <c r="DZ23" s="263"/>
      <c r="EA23" s="265">
        <f t="shared" si="13"/>
        <v>2.4951361586911247</v>
      </c>
      <c r="EB23" s="265">
        <f t="shared" si="13"/>
        <v>4.5282214386134712</v>
      </c>
      <c r="EC23" s="265">
        <f t="shared" si="13"/>
        <v>3.0931788874560766</v>
      </c>
      <c r="ED23" s="265">
        <f t="shared" ref="ED23:EL25" si="14">ED26/DQ26*100-100</f>
        <v>2.9209518103415064</v>
      </c>
      <c r="EE23" s="265">
        <f t="shared" si="14"/>
        <v>2.5735355502991553</v>
      </c>
      <c r="EF23" s="265">
        <f t="shared" si="14"/>
        <v>1.2155434860681993</v>
      </c>
      <c r="EG23" s="265">
        <f t="shared" si="14"/>
        <v>0.88892277197530234</v>
      </c>
      <c r="EH23" s="265">
        <f t="shared" si="14"/>
        <v>0.85232698362463566</v>
      </c>
      <c r="EI23" s="265">
        <f t="shared" si="14"/>
        <v>2.3607986194543287</v>
      </c>
      <c r="EJ23" s="265">
        <f t="shared" si="14"/>
        <v>4.7962688336241399E-2</v>
      </c>
      <c r="EK23" s="265">
        <f t="shared" si="14"/>
        <v>0.47748332972443563</v>
      </c>
      <c r="EL23" s="265">
        <f t="shared" si="14"/>
        <v>5.1203224156037663</v>
      </c>
      <c r="EN23" s="265">
        <f t="shared" ref="EN23:EP25" si="15">EN26/EA26*100-100</f>
        <v>1.5855671148311075</v>
      </c>
      <c r="EO23" s="265">
        <f t="shared" si="15"/>
        <v>0.81801394592508814</v>
      </c>
      <c r="EP23" s="265">
        <f t="shared" si="15"/>
        <v>3.4419361969408584</v>
      </c>
      <c r="EQ23" s="265">
        <f t="shared" ref="EQ23:EQ25" si="16">EQ26/ED26*100-100</f>
        <v>1.0184735180863242</v>
      </c>
      <c r="ER23" s="265">
        <f t="shared" ref="ER23:ER25" si="17">ER26/EE26*100-100</f>
        <v>2.4449400159523407</v>
      </c>
      <c r="ES23" s="265">
        <f t="shared" ref="ES23:ES25" si="18">ES26/EF26*100-100</f>
        <v>5.1542396104569548</v>
      </c>
      <c r="ET23" s="265"/>
      <c r="EU23" s="263"/>
      <c r="EV23" s="263"/>
      <c r="EW23" s="263"/>
      <c r="EX23" s="263"/>
      <c r="EY23" s="263"/>
    </row>
    <row r="24" spans="1:155" ht="12.75" customHeight="1">
      <c r="A24" s="96" t="s">
        <v>45</v>
      </c>
      <c r="B24" s="96"/>
      <c r="C24" s="96"/>
      <c r="D24" s="96"/>
      <c r="E24" s="96"/>
      <c r="F24" s="96"/>
      <c r="G24" s="96"/>
      <c r="H24" s="96"/>
      <c r="I24" s="96"/>
      <c r="J24" s="96"/>
      <c r="K24" s="96"/>
      <c r="L24" s="96"/>
      <c r="M24" s="96"/>
      <c r="N24" s="38"/>
      <c r="O24" s="38"/>
      <c r="P24" s="38">
        <f t="shared" si="0"/>
        <v>19.357778173966437</v>
      </c>
      <c r="Q24" s="38">
        <f t="shared" si="0"/>
        <v>16.067463872550931</v>
      </c>
      <c r="R24" s="38">
        <f t="shared" si="0"/>
        <v>13.84908364130024</v>
      </c>
      <c r="S24" s="38">
        <f t="shared" si="0"/>
        <v>11.835034442961742</v>
      </c>
      <c r="T24" s="38">
        <f t="shared" si="0"/>
        <v>14.370456425692211</v>
      </c>
      <c r="U24" s="38">
        <f t="shared" si="0"/>
        <v>17.457835141341363</v>
      </c>
      <c r="V24" s="38">
        <f t="shared" si="0"/>
        <v>11.830116938087372</v>
      </c>
      <c r="W24" s="38">
        <f t="shared" si="0"/>
        <v>22.463687150837998</v>
      </c>
      <c r="X24" s="38">
        <f t="shared" si="0"/>
        <v>19.327319260160095</v>
      </c>
      <c r="Y24" s="38">
        <f t="shared" si="0"/>
        <v>22.254542446717579</v>
      </c>
      <c r="AA24" s="38">
        <f t="shared" si="1"/>
        <v>19.207195318875563</v>
      </c>
      <c r="AB24" s="38">
        <f t="shared" si="1"/>
        <v>16.694895553120119</v>
      </c>
      <c r="AC24" s="38">
        <f t="shared" si="1"/>
        <v>15.265629927140552</v>
      </c>
      <c r="AD24" s="38">
        <f t="shared" si="1"/>
        <v>16.824954694945959</v>
      </c>
      <c r="AE24" s="38">
        <f t="shared" si="1"/>
        <v>14.53768569583147</v>
      </c>
      <c r="AF24" s="38">
        <f t="shared" si="1"/>
        <v>15.334505055065549</v>
      </c>
      <c r="AG24" s="38">
        <f t="shared" si="1"/>
        <v>19.184301654482482</v>
      </c>
      <c r="AH24" s="38">
        <f t="shared" si="1"/>
        <v>15.109126148141911</v>
      </c>
      <c r="AI24" s="38">
        <f t="shared" si="1"/>
        <v>17.125352835514505</v>
      </c>
      <c r="AJ24" s="38">
        <f t="shared" si="1"/>
        <v>10.940802578957772</v>
      </c>
      <c r="AK24" s="38">
        <f t="shared" si="1"/>
        <v>12.57510533761274</v>
      </c>
      <c r="AL24" s="38">
        <f t="shared" si="1"/>
        <v>11.636088902921713</v>
      </c>
      <c r="AM24" s="87"/>
      <c r="AN24" s="38">
        <f t="shared" ref="AN24:BA25" si="19">AN27/AA27*100-100</f>
        <v>12.172456485325171</v>
      </c>
      <c r="AO24" s="38">
        <f t="shared" si="19"/>
        <v>18.114292219249805</v>
      </c>
      <c r="AP24" s="38">
        <f t="shared" si="19"/>
        <v>17.742005154713397</v>
      </c>
      <c r="AQ24" s="38">
        <f t="shared" si="19"/>
        <v>16.662597130258689</v>
      </c>
      <c r="AR24" s="38">
        <f t="shared" si="19"/>
        <v>17.902225306901485</v>
      </c>
      <c r="AS24" s="38">
        <f t="shared" si="19"/>
        <v>16.96422330029219</v>
      </c>
      <c r="AT24" s="38">
        <f t="shared" si="19"/>
        <v>14.189049586776875</v>
      </c>
      <c r="AU24" s="38">
        <f t="shared" si="19"/>
        <v>17.475841874084935</v>
      </c>
      <c r="AV24" s="38">
        <f t="shared" si="19"/>
        <v>11.662330549089404</v>
      </c>
      <c r="AW24" s="38">
        <f t="shared" si="19"/>
        <v>14.264371282107518</v>
      </c>
      <c r="AX24" s="38">
        <f t="shared" si="19"/>
        <v>15.325370230245383</v>
      </c>
      <c r="AY24" s="38">
        <f t="shared" si="19"/>
        <v>12.304040404040407</v>
      </c>
      <c r="AZ24" s="38"/>
      <c r="BA24" s="38">
        <f t="shared" si="19"/>
        <v>5.3264426323170539</v>
      </c>
      <c r="BB24" s="38">
        <f t="shared" si="4"/>
        <v>3.2600053008216179</v>
      </c>
      <c r="BC24" s="38">
        <f t="shared" si="4"/>
        <v>3.0511293458721127</v>
      </c>
      <c r="BD24" s="38">
        <f t="shared" si="4"/>
        <v>4.4038707771102139</v>
      </c>
      <c r="BE24" s="38">
        <f t="shared" si="4"/>
        <v>3.8459651704684887</v>
      </c>
      <c r="BF24" s="38">
        <f t="shared" si="4"/>
        <v>2.8101504882800867</v>
      </c>
      <c r="BG24" s="38">
        <f t="shared" si="4"/>
        <v>4.6919527751391001</v>
      </c>
      <c r="BH24" s="38">
        <f t="shared" si="4"/>
        <v>3.6292935839274065</v>
      </c>
      <c r="BI24" s="38">
        <f t="shared" si="4"/>
        <v>4.1105129557187752</v>
      </c>
      <c r="BJ24" s="38">
        <f t="shared" si="4"/>
        <v>3.5614466502728988</v>
      </c>
      <c r="BK24" s="38">
        <f t="shared" si="4"/>
        <v>1.8968951376684231</v>
      </c>
      <c r="BL24" s="38">
        <f t="shared" si="4"/>
        <v>2.7882461931440616E-2</v>
      </c>
      <c r="BM24" s="38"/>
      <c r="BN24" s="38">
        <f t="shared" si="4"/>
        <v>4.0141036072687939</v>
      </c>
      <c r="BO24" s="38">
        <f t="shared" si="4"/>
        <v>4.4637857009520303</v>
      </c>
      <c r="BP24" s="38">
        <f t="shared" si="4"/>
        <v>5.5228556510181761</v>
      </c>
      <c r="BQ24" s="38">
        <f t="shared" si="4"/>
        <v>5.7829506727514968</v>
      </c>
      <c r="BR24" s="38">
        <f t="shared" si="4"/>
        <v>4.767584675705038</v>
      </c>
      <c r="BS24" s="38">
        <f t="shared" si="4"/>
        <v>6.8141654652839065</v>
      </c>
      <c r="BT24" s="38">
        <f t="shared" si="4"/>
        <v>5.5618566166542536</v>
      </c>
      <c r="BU24" s="38">
        <f t="shared" si="4"/>
        <v>9.5817097224226728</v>
      </c>
      <c r="BV24" s="38">
        <f t="shared" si="4"/>
        <v>9.7244961660325657</v>
      </c>
      <c r="BW24" s="38">
        <f t="shared" si="4"/>
        <v>5.8285264206454031</v>
      </c>
      <c r="BX24" s="38">
        <f t="shared" si="4"/>
        <v>6.9277558670330706</v>
      </c>
      <c r="BY24" s="38">
        <f t="shared" si="4"/>
        <v>9.6779124554904143</v>
      </c>
      <c r="CA24" s="211">
        <f t="shared" si="4"/>
        <v>45.020741969894516</v>
      </c>
      <c r="CB24" s="211">
        <f t="shared" si="4"/>
        <v>38.836024927963535</v>
      </c>
      <c r="CC24" s="211">
        <f t="shared" si="4"/>
        <v>39.967612064505971</v>
      </c>
      <c r="CD24" s="211">
        <f t="shared" si="4"/>
        <v>41.727885848057497</v>
      </c>
      <c r="CE24" s="211">
        <f t="shared" si="4"/>
        <v>44.329466932693066</v>
      </c>
      <c r="CF24" s="211">
        <f t="shared" si="4"/>
        <v>40.307816224570871</v>
      </c>
      <c r="CG24" s="211">
        <f t="shared" si="4"/>
        <v>42.16073511655037</v>
      </c>
      <c r="CH24" s="211">
        <f t="shared" si="4"/>
        <v>41.065686220710091</v>
      </c>
      <c r="CI24" s="211">
        <f t="shared" si="4"/>
        <v>39.325854758198687</v>
      </c>
      <c r="CJ24" s="211">
        <f t="shared" si="4"/>
        <v>46.111244883216955</v>
      </c>
      <c r="CK24" s="211">
        <f t="shared" si="4"/>
        <v>43.961976041465022</v>
      </c>
      <c r="CL24" s="211">
        <f t="shared" si="4"/>
        <v>30.936667349866781</v>
      </c>
      <c r="CM24" s="212"/>
      <c r="CN24" s="211">
        <f t="shared" si="4"/>
        <v>4.7305359857462861</v>
      </c>
      <c r="CO24" s="211">
        <f t="shared" si="4"/>
        <v>5.3494863688651861</v>
      </c>
      <c r="CP24" s="211">
        <f t="shared" si="4"/>
        <v>4.9669778727643887</v>
      </c>
      <c r="CQ24" s="211">
        <f t="shared" si="4"/>
        <v>4.4479577149059537</v>
      </c>
      <c r="CR24" s="211">
        <f t="shared" si="4"/>
        <v>4.9516163044072528</v>
      </c>
      <c r="CS24" s="211">
        <f t="shared" si="4"/>
        <v>4.254295799231997</v>
      </c>
      <c r="CT24" s="211">
        <f t="shared" si="4"/>
        <v>5.5777093170563177</v>
      </c>
      <c r="CU24" s="211">
        <f t="shared" si="4"/>
        <v>7.3841533625867584</v>
      </c>
      <c r="CV24" s="211">
        <f t="shared" si="6"/>
        <v>7.5121928668839359</v>
      </c>
      <c r="CW24" s="211">
        <f t="shared" si="6"/>
        <v>5.850362557679631</v>
      </c>
      <c r="CX24" s="211">
        <f t="shared" si="6"/>
        <v>5.9286205145059512</v>
      </c>
      <c r="CY24" s="211">
        <f t="shared" si="6"/>
        <v>5.9150961117024679</v>
      </c>
      <c r="CZ24" s="211"/>
      <c r="DA24" s="211">
        <f t="shared" si="7"/>
        <v>6.1642552792995389</v>
      </c>
      <c r="DB24" s="211">
        <f t="shared" si="7"/>
        <v>4.7915028138148017</v>
      </c>
      <c r="DC24" s="211">
        <f t="shared" si="7"/>
        <v>6.748109365910409</v>
      </c>
      <c r="DD24" s="211">
        <f t="shared" si="8"/>
        <v>4.6945599132477867</v>
      </c>
      <c r="DE24" s="211">
        <f t="shared" si="8"/>
        <v>3.9567194278867959</v>
      </c>
      <c r="DF24" s="211">
        <f t="shared" si="8"/>
        <v>6.1976798696321822</v>
      </c>
      <c r="DG24" s="211">
        <f t="shared" si="8"/>
        <v>10.742652222229793</v>
      </c>
      <c r="DH24" s="211">
        <f t="shared" si="9"/>
        <v>10.76777058895982</v>
      </c>
      <c r="DI24" s="211">
        <f t="shared" si="9"/>
        <v>9.5980335246777031</v>
      </c>
      <c r="DJ24" s="211">
        <f t="shared" si="10"/>
        <v>12.131827381710607</v>
      </c>
      <c r="DK24" s="211">
        <f t="shared" si="10"/>
        <v>12.25275538913921</v>
      </c>
      <c r="DL24" s="211">
        <f t="shared" si="11"/>
        <v>17.443558351117588</v>
      </c>
      <c r="DM24" s="211"/>
      <c r="DN24" s="265">
        <f t="shared" si="11"/>
        <v>14.011217206577427</v>
      </c>
      <c r="DO24" s="265">
        <f t="shared" si="11"/>
        <v>13.513946777813416</v>
      </c>
      <c r="DP24" s="265">
        <f t="shared" si="12"/>
        <v>12.62154022658828</v>
      </c>
      <c r="DQ24" s="265">
        <f t="shared" si="12"/>
        <v>16.359529872110244</v>
      </c>
      <c r="DR24" s="265">
        <f t="shared" si="12"/>
        <v>14.152874813881567</v>
      </c>
      <c r="DS24" s="265">
        <f t="shared" si="12"/>
        <v>12.033520649112234</v>
      </c>
      <c r="DT24" s="265">
        <f t="shared" si="12"/>
        <v>12.059667311030935</v>
      </c>
      <c r="DU24" s="265">
        <f t="shared" si="12"/>
        <v>6.2236321418059219</v>
      </c>
      <c r="DV24" s="265">
        <f t="shared" si="12"/>
        <v>6.4760808725446566</v>
      </c>
      <c r="DW24" s="265">
        <f t="shared" si="12"/>
        <v>1.0886783760074081</v>
      </c>
      <c r="DX24" s="265">
        <f t="shared" si="13"/>
        <v>-6.0305674387052477E-2</v>
      </c>
      <c r="DY24" s="265">
        <f t="shared" si="13"/>
        <v>2.9164821004308692</v>
      </c>
      <c r="DZ24" s="263"/>
      <c r="EA24" s="265">
        <f t="shared" si="13"/>
        <v>-0.37652641487537153</v>
      </c>
      <c r="EB24" s="265">
        <f t="shared" si="13"/>
        <v>2.2730482340706857</v>
      </c>
      <c r="EC24" s="265">
        <f t="shared" si="13"/>
        <v>0.15598935452241847</v>
      </c>
      <c r="ED24" s="265">
        <f t="shared" si="14"/>
        <v>-1.9991345737775816</v>
      </c>
      <c r="EE24" s="265">
        <f t="shared" si="14"/>
        <v>-1.964669806292207</v>
      </c>
      <c r="EF24" s="265">
        <f t="shared" si="14"/>
        <v>-0.99004327921346658</v>
      </c>
      <c r="EG24" s="265">
        <f t="shared" si="14"/>
        <v>-1.2234717590634148</v>
      </c>
      <c r="EH24" s="265">
        <f t="shared" si="14"/>
        <v>-0.84913793103447688</v>
      </c>
      <c r="EI24" s="265">
        <f t="shared" si="14"/>
        <v>-3.5956422412734383</v>
      </c>
      <c r="EJ24" s="265">
        <f t="shared" si="14"/>
        <v>-2.744515339568224</v>
      </c>
      <c r="EK24" s="265">
        <f t="shared" si="14"/>
        <v>-2.6273940399640452</v>
      </c>
      <c r="EL24" s="265">
        <f t="shared" si="14"/>
        <v>5.0866192567667667E-2</v>
      </c>
      <c r="EN24" s="265">
        <f t="shared" si="15"/>
        <v>-1.9311665954775492</v>
      </c>
      <c r="EO24" s="265">
        <f t="shared" si="15"/>
        <v>-1.6093093903579501</v>
      </c>
      <c r="EP24" s="265">
        <f t="shared" si="15"/>
        <v>0.92939284329369798</v>
      </c>
      <c r="EQ24" s="265">
        <f t="shared" si="16"/>
        <v>-0.34566281475501626</v>
      </c>
      <c r="ER24" s="265">
        <f t="shared" si="17"/>
        <v>-7.0362173295634989E-2</v>
      </c>
      <c r="ES24" s="265">
        <f t="shared" si="18"/>
        <v>1.732055663291419</v>
      </c>
      <c r="ET24" s="265"/>
      <c r="EU24" s="263"/>
      <c r="EV24" s="263"/>
      <c r="EW24" s="263"/>
      <c r="EX24" s="263"/>
      <c r="EY24" s="263"/>
    </row>
    <row r="25" spans="1:155" s="134" customFormat="1" ht="13.5" customHeight="1">
      <c r="A25" s="150" t="s">
        <v>46</v>
      </c>
      <c r="B25" s="150"/>
      <c r="C25" s="150"/>
      <c r="D25" s="150"/>
      <c r="E25" s="150"/>
      <c r="F25" s="150"/>
      <c r="G25" s="150"/>
      <c r="H25" s="150"/>
      <c r="I25" s="150"/>
      <c r="J25" s="150"/>
      <c r="K25" s="150"/>
      <c r="L25" s="150"/>
      <c r="M25" s="150"/>
      <c r="N25" s="40"/>
      <c r="O25" s="40"/>
      <c r="P25" s="40">
        <f t="shared" si="0"/>
        <v>24.220464064889313</v>
      </c>
      <c r="Q25" s="40">
        <f t="shared" si="0"/>
        <v>18.365376282852793</v>
      </c>
      <c r="R25" s="40">
        <f t="shared" si="0"/>
        <v>17.501243162605661</v>
      </c>
      <c r="S25" s="40">
        <f t="shared" si="0"/>
        <v>22.984833416210847</v>
      </c>
      <c r="T25" s="40">
        <f t="shared" si="0"/>
        <v>26.312748980009388</v>
      </c>
      <c r="U25" s="40">
        <f t="shared" si="0"/>
        <v>21.612869036824208</v>
      </c>
      <c r="V25" s="40">
        <f t="shared" si="0"/>
        <v>25.698697385049087</v>
      </c>
      <c r="W25" s="40">
        <f t="shared" si="0"/>
        <v>20.231525567627727</v>
      </c>
      <c r="X25" s="40">
        <f t="shared" si="0"/>
        <v>17.212746858168757</v>
      </c>
      <c r="Y25" s="40">
        <f t="shared" si="0"/>
        <v>25.725405239597009</v>
      </c>
      <c r="AA25" s="40">
        <f t="shared" si="1"/>
        <v>24.375250253197351</v>
      </c>
      <c r="AB25" s="40">
        <f t="shared" si="1"/>
        <v>22.639227969966385</v>
      </c>
      <c r="AC25" s="40">
        <f t="shared" si="1"/>
        <v>24.781631342324985</v>
      </c>
      <c r="AD25" s="40">
        <f t="shared" si="1"/>
        <v>26.643099192569977</v>
      </c>
      <c r="AE25" s="40">
        <f t="shared" si="1"/>
        <v>23.216741784633626</v>
      </c>
      <c r="AF25" s="40">
        <f t="shared" si="1"/>
        <v>24.032386863306002</v>
      </c>
      <c r="AG25" s="40">
        <f t="shared" si="1"/>
        <v>19.659463373732748</v>
      </c>
      <c r="AH25" s="40">
        <f t="shared" si="1"/>
        <v>17.098867047545269</v>
      </c>
      <c r="AI25" s="40">
        <f t="shared" si="1"/>
        <v>16.401952728503062</v>
      </c>
      <c r="AJ25" s="40">
        <f t="shared" si="1"/>
        <v>18.871129347774215</v>
      </c>
      <c r="AK25" s="40">
        <f t="shared" si="1"/>
        <v>16.83419490714148</v>
      </c>
      <c r="AL25" s="40">
        <f t="shared" si="1"/>
        <v>15.838911846780206</v>
      </c>
      <c r="AM25" s="39"/>
      <c r="AN25" s="40">
        <f t="shared" si="19"/>
        <v>11.88595992879597</v>
      </c>
      <c r="AO25" s="40">
        <f t="shared" si="19"/>
        <v>13.322691206159917</v>
      </c>
      <c r="AP25" s="40">
        <f t="shared" si="19"/>
        <v>3.3464583815871833</v>
      </c>
      <c r="AQ25" s="40">
        <f t="shared" si="19"/>
        <v>4.0574467733676727</v>
      </c>
      <c r="AR25" s="40">
        <f t="shared" si="19"/>
        <v>6.0079682643265642</v>
      </c>
      <c r="AS25" s="40">
        <f t="shared" si="19"/>
        <v>0.81415438779501415</v>
      </c>
      <c r="AT25" s="40">
        <f t="shared" si="19"/>
        <v>6.6170322888880122</v>
      </c>
      <c r="AU25" s="40">
        <f t="shared" si="19"/>
        <v>3.6831833818470585</v>
      </c>
      <c r="AV25" s="40">
        <f t="shared" si="19"/>
        <v>6.6388732020064509</v>
      </c>
      <c r="AW25" s="40">
        <f t="shared" si="19"/>
        <v>4.6624013614725754</v>
      </c>
      <c r="AX25" s="40">
        <f t="shared" si="19"/>
        <v>6.485312794461052</v>
      </c>
      <c r="AY25" s="40">
        <f t="shared" si="19"/>
        <v>5.6360740331200816</v>
      </c>
      <c r="AZ25" s="40"/>
      <c r="BA25" s="40">
        <f t="shared" si="19"/>
        <v>7.3321203402022519</v>
      </c>
      <c r="BB25" s="40">
        <f t="shared" si="4"/>
        <v>5.4788164033045206</v>
      </c>
      <c r="BC25" s="40">
        <f t="shared" si="4"/>
        <v>14.316189654027497</v>
      </c>
      <c r="BD25" s="40">
        <f t="shared" si="4"/>
        <v>5.9833808204827079</v>
      </c>
      <c r="BE25" s="40">
        <f t="shared" si="4"/>
        <v>5.4552523509829172</v>
      </c>
      <c r="BF25" s="40">
        <f t="shared" si="4"/>
        <v>10.526826350209788</v>
      </c>
      <c r="BG25" s="40">
        <f t="shared" si="4"/>
        <v>3.2174465065909885</v>
      </c>
      <c r="BH25" s="40">
        <f t="shared" si="4"/>
        <v>6.0806176325150432</v>
      </c>
      <c r="BI25" s="40">
        <f t="shared" si="4"/>
        <v>3.4445430898867784</v>
      </c>
      <c r="BJ25" s="40">
        <f t="shared" si="4"/>
        <v>1.0277728775339483</v>
      </c>
      <c r="BK25" s="40">
        <f t="shared" si="4"/>
        <v>2.2360726377346936</v>
      </c>
      <c r="BL25" s="40">
        <f t="shared" si="4"/>
        <v>4.2082307860057853</v>
      </c>
      <c r="BM25" s="40"/>
      <c r="BN25" s="40">
        <f t="shared" si="4"/>
        <v>3.1617374575215536</v>
      </c>
      <c r="BO25" s="40">
        <f t="shared" si="4"/>
        <v>2.2821006323893442</v>
      </c>
      <c r="BP25" s="40">
        <f t="shared" si="4"/>
        <v>0.62010325372679631</v>
      </c>
      <c r="BQ25" s="40">
        <f t="shared" si="4"/>
        <v>5.1947760188111261</v>
      </c>
      <c r="BR25" s="40">
        <f t="shared" si="4"/>
        <v>4.7659646373872704</v>
      </c>
      <c r="BS25" s="40">
        <f t="shared" si="4"/>
        <v>5.5783507039678142</v>
      </c>
      <c r="BT25" s="40">
        <f t="shared" si="4"/>
        <v>2.8248301411691443</v>
      </c>
      <c r="BU25" s="40">
        <f t="shared" si="4"/>
        <v>4.4915266980436854</v>
      </c>
      <c r="BV25" s="40">
        <f t="shared" si="4"/>
        <v>3.9938567632068214</v>
      </c>
      <c r="BW25" s="40">
        <f t="shared" si="4"/>
        <v>6.3969510852648312</v>
      </c>
      <c r="BX25" s="40">
        <f t="shared" si="4"/>
        <v>4.2403624704589618</v>
      </c>
      <c r="BY25" s="40">
        <f t="shared" si="4"/>
        <v>5.2167725965476706</v>
      </c>
      <c r="CA25" s="221">
        <f t="shared" si="4"/>
        <v>24.227485688517959</v>
      </c>
      <c r="CB25" s="221">
        <f t="shared" si="4"/>
        <v>23.549155145929348</v>
      </c>
      <c r="CC25" s="221">
        <f t="shared" si="4"/>
        <v>23.065099261760949</v>
      </c>
      <c r="CD25" s="221">
        <f t="shared" si="4"/>
        <v>19.704573767574303</v>
      </c>
      <c r="CE25" s="221">
        <f t="shared" si="4"/>
        <v>28.991414893071067</v>
      </c>
      <c r="CF25" s="221">
        <f t="shared" si="4"/>
        <v>17.49889159831524</v>
      </c>
      <c r="CG25" s="221">
        <f t="shared" si="4"/>
        <v>22.915127333628888</v>
      </c>
      <c r="CH25" s="221">
        <f t="shared" si="4"/>
        <v>24.071089365376324</v>
      </c>
      <c r="CI25" s="221">
        <f t="shared" si="4"/>
        <v>22.61572096659765</v>
      </c>
      <c r="CJ25" s="221">
        <f t="shared" si="4"/>
        <v>22.381105283813184</v>
      </c>
      <c r="CK25" s="221">
        <f t="shared" si="4"/>
        <v>23.199277978339367</v>
      </c>
      <c r="CL25" s="221">
        <f t="shared" si="4"/>
        <v>19.621648652641866</v>
      </c>
      <c r="CM25" s="217"/>
      <c r="CN25" s="221">
        <f t="shared" si="4"/>
        <v>5.7408113794928113</v>
      </c>
      <c r="CO25" s="221">
        <f t="shared" si="4"/>
        <v>7.1303796445378254</v>
      </c>
      <c r="CP25" s="221">
        <f t="shared" si="4"/>
        <v>3.5324127012050326</v>
      </c>
      <c r="CQ25" s="221">
        <f t="shared" si="4"/>
        <v>7.1344890131129119</v>
      </c>
      <c r="CR25" s="221">
        <f t="shared" si="4"/>
        <v>0.38819390370746021</v>
      </c>
      <c r="CS25" s="221">
        <f t="shared" si="4"/>
        <v>8.0749003608235199</v>
      </c>
      <c r="CT25" s="221">
        <f t="shared" si="4"/>
        <v>8.4135317253579416</v>
      </c>
      <c r="CU25" s="221">
        <f t="shared" si="4"/>
        <v>8.3307236391895003</v>
      </c>
      <c r="CV25" s="221">
        <f t="shared" si="6"/>
        <v>9.3697970172517557</v>
      </c>
      <c r="CW25" s="221">
        <f t="shared" si="6"/>
        <v>8.1160975097807011</v>
      </c>
      <c r="CX25" s="221">
        <f t="shared" si="6"/>
        <v>8.9989509526404987</v>
      </c>
      <c r="CY25" s="221">
        <f t="shared" si="6"/>
        <v>10.405077362317883</v>
      </c>
      <c r="CZ25" s="221"/>
      <c r="DA25" s="221">
        <f t="shared" si="7"/>
        <v>8.0055158289162023</v>
      </c>
      <c r="DB25" s="221">
        <f t="shared" si="7"/>
        <v>8.1929542566340388</v>
      </c>
      <c r="DC25" s="221">
        <f t="shared" si="7"/>
        <v>8.9539474056830954</v>
      </c>
      <c r="DD25" s="221">
        <f t="shared" si="8"/>
        <v>7.4742439717571756</v>
      </c>
      <c r="DE25" s="221">
        <f t="shared" si="8"/>
        <v>11.043674204250792</v>
      </c>
      <c r="DF25" s="221">
        <f t="shared" si="8"/>
        <v>9.1910882230999249</v>
      </c>
      <c r="DG25" s="221">
        <f t="shared" si="8"/>
        <v>7.7468619136385968</v>
      </c>
      <c r="DH25" s="221">
        <f t="shared" si="9"/>
        <v>4.7939228796727917</v>
      </c>
      <c r="DI25" s="221">
        <f t="shared" si="9"/>
        <v>7.4577314244995705</v>
      </c>
      <c r="DJ25" s="221">
        <f t="shared" si="10"/>
        <v>6.2222605713176335</v>
      </c>
      <c r="DK25" s="221">
        <f t="shared" si="10"/>
        <v>6.2424053423376051</v>
      </c>
      <c r="DL25" s="221">
        <f t="shared" si="11"/>
        <v>3.4185864392485428</v>
      </c>
      <c r="DM25" s="221"/>
      <c r="DN25" s="270">
        <f t="shared" si="11"/>
        <v>7.3528777986079632</v>
      </c>
      <c r="DO25" s="265">
        <f t="shared" si="11"/>
        <v>6.8699383212657494</v>
      </c>
      <c r="DP25" s="265">
        <f t="shared" si="12"/>
        <v>10.463278715794729</v>
      </c>
      <c r="DQ25" s="265">
        <f t="shared" si="12"/>
        <v>8.7104954626917959</v>
      </c>
      <c r="DR25" s="265">
        <f t="shared" si="12"/>
        <v>5.9679195643750091</v>
      </c>
      <c r="DS25" s="265">
        <f t="shared" si="12"/>
        <v>5.0045964147964668</v>
      </c>
      <c r="DT25" s="265">
        <f t="shared" si="12"/>
        <v>6.3483583859789974</v>
      </c>
      <c r="DU25" s="265">
        <f t="shared" si="12"/>
        <v>8.0938320545174065</v>
      </c>
      <c r="DV25" s="265">
        <f t="shared" si="12"/>
        <v>5.8962418177525251</v>
      </c>
      <c r="DW25" s="265">
        <f t="shared" si="12"/>
        <v>6.7858393960470949</v>
      </c>
      <c r="DX25" s="265">
        <f t="shared" si="13"/>
        <v>5.8310896981720362</v>
      </c>
      <c r="DY25" s="265">
        <f t="shared" si="13"/>
        <v>3.3080786017116708</v>
      </c>
      <c r="DZ25" s="271"/>
      <c r="EA25" s="265">
        <f t="shared" si="13"/>
        <v>5.3578686953336359</v>
      </c>
      <c r="EB25" s="265">
        <f t="shared" si="13"/>
        <v>6.548763167535725</v>
      </c>
      <c r="EC25" s="265">
        <f t="shared" si="13"/>
        <v>5.4899856938483538</v>
      </c>
      <c r="ED25" s="265">
        <f t="shared" si="14"/>
        <v>7.3626248325272599</v>
      </c>
      <c r="EE25" s="265">
        <f t="shared" si="14"/>
        <v>6.5878549055269389</v>
      </c>
      <c r="EF25" s="265">
        <f t="shared" si="14"/>
        <v>2.758203955788801</v>
      </c>
      <c r="EG25" s="265">
        <f t="shared" si="14"/>
        <v>2.6346836259735369</v>
      </c>
      <c r="EH25" s="265">
        <f t="shared" si="14"/>
        <v>1.4177827767748283</v>
      </c>
      <c r="EI25" s="265">
        <f t="shared" si="14"/>
        <v>6.9740412531547094</v>
      </c>
      <c r="EJ25" s="265">
        <f t="shared" si="14"/>
        <v>1.5969762521691706</v>
      </c>
      <c r="EK25" s="265">
        <f t="shared" si="14"/>
        <v>2.0992932220086402</v>
      </c>
      <c r="EL25" s="265">
        <f t="shared" si="14"/>
        <v>9.2008924615991816</v>
      </c>
      <c r="EN25" s="265">
        <f t="shared" si="15"/>
        <v>3.2626194309229675</v>
      </c>
      <c r="EO25" s="265">
        <f t="shared" si="15"/>
        <v>1.6574975978295612</v>
      </c>
      <c r="EP25" s="265">
        <f t="shared" si="15"/>
        <v>3.9801572077336971</v>
      </c>
      <c r="EQ25" s="265">
        <f t="shared" si="16"/>
        <v>0.55934400984160959</v>
      </c>
      <c r="ER25" s="265">
        <f t="shared" si="17"/>
        <v>2.9404728049149469</v>
      </c>
      <c r="ES25" s="265">
        <f t="shared" si="18"/>
        <v>6.6958373848219566</v>
      </c>
      <c r="ET25" s="265"/>
      <c r="EU25" s="271"/>
      <c r="EV25" s="271"/>
      <c r="EW25" s="271"/>
      <c r="EX25" s="271"/>
      <c r="EY25" s="271"/>
    </row>
    <row r="26" spans="1:155" s="134" customFormat="1" ht="12.75" hidden="1" customHeight="1">
      <c r="A26" s="213" t="s">
        <v>105</v>
      </c>
      <c r="B26" s="150"/>
      <c r="C26" s="150"/>
      <c r="D26" s="150">
        <v>59222</v>
      </c>
      <c r="E26" s="150">
        <v>62188</v>
      </c>
      <c r="F26" s="150">
        <v>63480</v>
      </c>
      <c r="G26" s="150">
        <v>64821</v>
      </c>
      <c r="H26" s="150">
        <v>66842</v>
      </c>
      <c r="I26" s="150">
        <v>62719</v>
      </c>
      <c r="J26" s="150">
        <v>65399</v>
      </c>
      <c r="K26" s="150">
        <v>65710</v>
      </c>
      <c r="L26" s="150">
        <v>67335</v>
      </c>
      <c r="M26" s="150">
        <v>83894</v>
      </c>
      <c r="N26" s="40">
        <v>67185</v>
      </c>
      <c r="O26" s="40">
        <v>69571</v>
      </c>
      <c r="P26" s="40">
        <v>71946</v>
      </c>
      <c r="Q26" s="40">
        <v>72877</v>
      </c>
      <c r="R26" s="40">
        <v>73075</v>
      </c>
      <c r="S26" s="40">
        <v>75930</v>
      </c>
      <c r="T26" s="40">
        <v>80256</v>
      </c>
      <c r="U26" s="40">
        <v>76443</v>
      </c>
      <c r="V26" s="40">
        <v>78305</v>
      </c>
      <c r="W26" s="40">
        <v>80641</v>
      </c>
      <c r="X26" s="40">
        <v>80433</v>
      </c>
      <c r="Y26" s="40">
        <v>104835</v>
      </c>
      <c r="AA26" s="39">
        <v>82380</v>
      </c>
      <c r="AB26" s="39">
        <v>84018</v>
      </c>
      <c r="AC26" s="39">
        <v>87753</v>
      </c>
      <c r="AD26" s="39">
        <v>89824</v>
      </c>
      <c r="AE26" s="39">
        <v>87877</v>
      </c>
      <c r="AF26" s="39">
        <v>92135</v>
      </c>
      <c r="AG26" s="39">
        <v>97039</v>
      </c>
      <c r="AH26" s="39">
        <v>90060</v>
      </c>
      <c r="AI26" s="39">
        <v>92668</v>
      </c>
      <c r="AJ26" s="39">
        <v>94372</v>
      </c>
      <c r="AK26" s="39">
        <v>93660</v>
      </c>
      <c r="AL26" s="39">
        <v>120365</v>
      </c>
      <c r="AM26" s="39"/>
      <c r="AN26" s="39">
        <v>93516</v>
      </c>
      <c r="AO26" s="39">
        <v>97920</v>
      </c>
      <c r="AP26" s="39">
        <v>97430</v>
      </c>
      <c r="AQ26" s="39">
        <v>99358</v>
      </c>
      <c r="AR26" s="40">
        <v>98834</v>
      </c>
      <c r="AS26" s="40">
        <v>99965</v>
      </c>
      <c r="AT26" s="40">
        <v>106999</v>
      </c>
      <c r="AU26" s="40">
        <v>98758</v>
      </c>
      <c r="AV26" s="40">
        <v>100699</v>
      </c>
      <c r="AW26" s="40">
        <v>102511</v>
      </c>
      <c r="AX26" s="40">
        <v>103403</v>
      </c>
      <c r="AY26" s="40">
        <v>130893</v>
      </c>
      <c r="AZ26" s="40"/>
      <c r="BA26" s="40">
        <v>99553</v>
      </c>
      <c r="BB26" s="40">
        <v>102372</v>
      </c>
      <c r="BC26" s="40">
        <v>106125</v>
      </c>
      <c r="BD26" s="40">
        <v>105086</v>
      </c>
      <c r="BE26" s="40">
        <v>104499</v>
      </c>
      <c r="BF26" s="134">
        <v>108856</v>
      </c>
      <c r="BG26" s="134">
        <v>113300</v>
      </c>
      <c r="BH26" s="134">
        <v>105948</v>
      </c>
      <c r="BI26" s="40">
        <v>106831</v>
      </c>
      <c r="BJ26" s="134">
        <v>107178</v>
      </c>
      <c r="BK26" s="134">
        <v>107989</v>
      </c>
      <c r="BL26" s="134">
        <v>136729</v>
      </c>
      <c r="BN26" s="134">
        <v>105273</v>
      </c>
      <c r="BO26" s="134">
        <v>107922</v>
      </c>
      <c r="BP26" s="134">
        <v>111485</v>
      </c>
      <c r="BQ26" s="134">
        <v>112730</v>
      </c>
      <c r="BR26" s="134">
        <v>110632</v>
      </c>
      <c r="BS26" s="134">
        <v>116096</v>
      </c>
      <c r="BT26" s="134">
        <v>118395</v>
      </c>
      <c r="BU26" s="134">
        <v>113554</v>
      </c>
      <c r="BV26" s="134">
        <v>114060</v>
      </c>
      <c r="BW26" s="134">
        <v>113856</v>
      </c>
      <c r="BX26" s="134">
        <v>113969</v>
      </c>
      <c r="BY26" s="134">
        <v>146735</v>
      </c>
      <c r="CA26" s="134">
        <v>139471</v>
      </c>
      <c r="CB26" s="134">
        <v>139793</v>
      </c>
      <c r="CC26" s="134">
        <v>143933</v>
      </c>
      <c r="CD26" s="134">
        <v>144585</v>
      </c>
      <c r="CE26" s="134">
        <v>148302</v>
      </c>
      <c r="CF26" s="134">
        <v>146283</v>
      </c>
      <c r="CG26" s="134">
        <v>153658</v>
      </c>
      <c r="CH26" s="134">
        <v>147437</v>
      </c>
      <c r="CI26" s="134">
        <v>146798</v>
      </c>
      <c r="CJ26" s="134">
        <v>149615</v>
      </c>
      <c r="CK26" s="134">
        <v>149409</v>
      </c>
      <c r="CL26" s="134">
        <v>180576</v>
      </c>
      <c r="CN26" s="134">
        <v>145683</v>
      </c>
      <c r="CO26" s="134">
        <v>147702</v>
      </c>
      <c r="CP26" s="134">
        <v>149371</v>
      </c>
      <c r="CQ26" s="134">
        <v>152308</v>
      </c>
      <c r="CR26" s="134">
        <v>151863</v>
      </c>
      <c r="CS26" s="134">
        <v>154773</v>
      </c>
      <c r="CT26" s="134">
        <v>164560</v>
      </c>
      <c r="CU26" s="134">
        <v>158470</v>
      </c>
      <c r="CV26" s="134">
        <v>158665</v>
      </c>
      <c r="CW26" s="134">
        <v>159514</v>
      </c>
      <c r="CX26" s="134">
        <v>159952</v>
      </c>
      <c r="CY26" s="217">
        <v>195072</v>
      </c>
      <c r="DA26" s="217">
        <v>155940</v>
      </c>
      <c r="DB26" s="217">
        <v>157214</v>
      </c>
      <c r="DC26" s="134">
        <v>161150</v>
      </c>
      <c r="DD26" s="217">
        <v>161632</v>
      </c>
      <c r="DE26" s="134">
        <v>163144</v>
      </c>
      <c r="DF26" s="217">
        <v>166737</v>
      </c>
      <c r="DG26" s="217">
        <v>179889</v>
      </c>
      <c r="DH26" s="134">
        <v>170970</v>
      </c>
      <c r="DI26" s="134">
        <v>172347</v>
      </c>
      <c r="DJ26" s="134">
        <v>174630</v>
      </c>
      <c r="DK26" s="134">
        <v>175246</v>
      </c>
      <c r="DL26" s="134">
        <v>215986</v>
      </c>
      <c r="DN26" s="270">
        <v>173217</v>
      </c>
      <c r="DO26" s="270">
        <v>173556</v>
      </c>
      <c r="DP26" s="270">
        <v>179912</v>
      </c>
      <c r="DQ26" s="270">
        <v>181927</v>
      </c>
      <c r="DR26" s="270">
        <v>179675</v>
      </c>
      <c r="DS26" s="270">
        <v>180989</v>
      </c>
      <c r="DT26" s="270">
        <v>196755</v>
      </c>
      <c r="DU26" s="270">
        <v>183263</v>
      </c>
      <c r="DV26" s="270">
        <v>183116</v>
      </c>
      <c r="DW26" s="270">
        <v>181391</v>
      </c>
      <c r="DX26" s="270">
        <v>180111</v>
      </c>
      <c r="DY26" s="270">
        <v>222818</v>
      </c>
      <c r="DZ26" s="271"/>
      <c r="EA26" s="271">
        <v>177539</v>
      </c>
      <c r="EB26" s="271">
        <v>181415</v>
      </c>
      <c r="EC26" s="271">
        <v>185477</v>
      </c>
      <c r="ED26" s="271">
        <v>187241</v>
      </c>
      <c r="EE26" s="271">
        <v>184299</v>
      </c>
      <c r="EF26" s="271">
        <v>183189</v>
      </c>
      <c r="EG26" s="271">
        <v>198504</v>
      </c>
      <c r="EH26" s="271">
        <v>184825</v>
      </c>
      <c r="EI26" s="271">
        <v>187439</v>
      </c>
      <c r="EJ26" s="271">
        <v>181478</v>
      </c>
      <c r="EK26" s="271">
        <v>180971</v>
      </c>
      <c r="EL26" s="271">
        <v>234227</v>
      </c>
      <c r="EN26" s="271">
        <v>180354</v>
      </c>
      <c r="EO26" s="271">
        <v>182899</v>
      </c>
      <c r="EP26" s="271">
        <v>191861</v>
      </c>
      <c r="EQ26" s="271">
        <v>189148</v>
      </c>
      <c r="ER26" s="271">
        <v>188805</v>
      </c>
      <c r="ES26" s="271">
        <v>192631</v>
      </c>
      <c r="ET26" s="271"/>
      <c r="EU26" s="271"/>
      <c r="EV26" s="271"/>
      <c r="EW26" s="271"/>
      <c r="EX26" s="271"/>
      <c r="EY26" s="271"/>
    </row>
    <row r="27" spans="1:155" s="134" customFormat="1" ht="12.75" hidden="1" customHeight="1">
      <c r="A27" s="207" t="s">
        <v>45</v>
      </c>
      <c r="B27" s="150"/>
      <c r="C27" s="150"/>
      <c r="D27" s="150">
        <v>50481</v>
      </c>
      <c r="E27" s="150">
        <v>51346</v>
      </c>
      <c r="F27" s="150">
        <v>53036</v>
      </c>
      <c r="G27" s="150">
        <v>55454</v>
      </c>
      <c r="H27" s="150">
        <v>56811</v>
      </c>
      <c r="I27" s="150">
        <v>50516</v>
      </c>
      <c r="J27" s="150">
        <v>55756</v>
      </c>
      <c r="K27" s="150">
        <v>53700</v>
      </c>
      <c r="L27" s="150">
        <v>55093</v>
      </c>
      <c r="M27" s="150">
        <v>72538</v>
      </c>
      <c r="N27" s="40">
        <v>57593</v>
      </c>
      <c r="O27" s="40">
        <v>60222</v>
      </c>
      <c r="P27" s="40">
        <v>60253</v>
      </c>
      <c r="Q27" s="40">
        <v>59596</v>
      </c>
      <c r="R27" s="40">
        <v>60381</v>
      </c>
      <c r="S27" s="40">
        <v>62017</v>
      </c>
      <c r="T27" s="40">
        <v>64975</v>
      </c>
      <c r="U27" s="40">
        <v>59335</v>
      </c>
      <c r="V27" s="40">
        <v>62352</v>
      </c>
      <c r="W27" s="40">
        <v>65763</v>
      </c>
      <c r="X27" s="40">
        <v>65741</v>
      </c>
      <c r="Y27" s="40">
        <v>88681</v>
      </c>
      <c r="AA27" s="39">
        <v>68655</v>
      </c>
      <c r="AB27" s="39">
        <v>70276</v>
      </c>
      <c r="AC27" s="39">
        <v>69451</v>
      </c>
      <c r="AD27" s="39">
        <v>69623</v>
      </c>
      <c r="AE27" s="39">
        <v>69159</v>
      </c>
      <c r="AF27" s="39">
        <v>71527</v>
      </c>
      <c r="AG27" s="39">
        <v>77440</v>
      </c>
      <c r="AH27" s="39">
        <v>68300</v>
      </c>
      <c r="AI27" s="39">
        <v>73030</v>
      </c>
      <c r="AJ27" s="39">
        <v>72958</v>
      </c>
      <c r="AK27" s="39">
        <v>74008</v>
      </c>
      <c r="AL27" s="39">
        <v>99000</v>
      </c>
      <c r="AM27" s="39"/>
      <c r="AN27" s="39">
        <v>77012</v>
      </c>
      <c r="AO27" s="39">
        <v>83006</v>
      </c>
      <c r="AP27" s="39">
        <v>81773</v>
      </c>
      <c r="AQ27" s="39">
        <v>81224</v>
      </c>
      <c r="AR27" s="39">
        <v>81540</v>
      </c>
      <c r="AS27" s="39">
        <v>83661</v>
      </c>
      <c r="AT27" s="39">
        <v>88428</v>
      </c>
      <c r="AU27" s="39">
        <v>80236</v>
      </c>
      <c r="AV27" s="39">
        <v>81547</v>
      </c>
      <c r="AW27" s="39">
        <v>83365</v>
      </c>
      <c r="AX27" s="39">
        <v>85350</v>
      </c>
      <c r="AY27" s="39">
        <v>111181</v>
      </c>
      <c r="AZ27" s="39"/>
      <c r="BA27" s="39">
        <v>81114</v>
      </c>
      <c r="BB27" s="40">
        <v>85712</v>
      </c>
      <c r="BC27" s="40">
        <v>84268</v>
      </c>
      <c r="BD27" s="40">
        <v>84801</v>
      </c>
      <c r="BE27" s="40">
        <v>84676</v>
      </c>
      <c r="BF27" s="134">
        <v>86012</v>
      </c>
      <c r="BG27" s="134">
        <v>92577</v>
      </c>
      <c r="BH27" s="134">
        <v>83148</v>
      </c>
      <c r="BI27" s="134">
        <v>84899</v>
      </c>
      <c r="BJ27" s="134">
        <v>86334</v>
      </c>
      <c r="BK27" s="134">
        <v>86969</v>
      </c>
      <c r="BL27" s="134">
        <v>111212</v>
      </c>
      <c r="BN27" s="134">
        <v>84370</v>
      </c>
      <c r="BO27" s="134">
        <v>89538</v>
      </c>
      <c r="BP27" s="134">
        <v>88922</v>
      </c>
      <c r="BQ27" s="134">
        <v>89705</v>
      </c>
      <c r="BR27" s="134">
        <v>88713</v>
      </c>
      <c r="BS27" s="134">
        <v>91873</v>
      </c>
      <c r="BT27" s="134">
        <v>97726</v>
      </c>
      <c r="BU27" s="134">
        <v>91115</v>
      </c>
      <c r="BV27" s="134">
        <v>93155</v>
      </c>
      <c r="BW27" s="134">
        <v>91366</v>
      </c>
      <c r="BX27" s="134">
        <v>92994</v>
      </c>
      <c r="BY27" s="134">
        <v>121975</v>
      </c>
      <c r="CA27" s="134">
        <v>122354</v>
      </c>
      <c r="CB27" s="134">
        <v>124311</v>
      </c>
      <c r="CC27" s="134">
        <v>124462</v>
      </c>
      <c r="CD27" s="134">
        <v>127137</v>
      </c>
      <c r="CE27" s="134">
        <v>128039</v>
      </c>
      <c r="CF27" s="134">
        <v>128905</v>
      </c>
      <c r="CG27" s="134">
        <v>138928</v>
      </c>
      <c r="CH27" s="134">
        <v>128532</v>
      </c>
      <c r="CI27" s="134">
        <v>129789</v>
      </c>
      <c r="CJ27" s="134">
        <v>133496</v>
      </c>
      <c r="CK27" s="134">
        <v>133876</v>
      </c>
      <c r="CL27" s="134">
        <v>159710</v>
      </c>
      <c r="CN27" s="134">
        <v>128142</v>
      </c>
      <c r="CO27" s="134">
        <v>130961</v>
      </c>
      <c r="CP27" s="134">
        <v>130644</v>
      </c>
      <c r="CQ27" s="134">
        <v>132792</v>
      </c>
      <c r="CR27" s="134">
        <v>134379</v>
      </c>
      <c r="CS27" s="134">
        <v>134389</v>
      </c>
      <c r="CT27" s="134">
        <v>146677</v>
      </c>
      <c r="CU27" s="134">
        <v>138023</v>
      </c>
      <c r="CV27" s="134">
        <v>139539</v>
      </c>
      <c r="CW27" s="134">
        <v>141306</v>
      </c>
      <c r="CX27" s="134">
        <v>141813</v>
      </c>
      <c r="CY27" s="217">
        <v>169157</v>
      </c>
      <c r="DA27" s="217">
        <v>136041</v>
      </c>
      <c r="DB27" s="217">
        <v>137236</v>
      </c>
      <c r="DC27" s="217">
        <v>139460</v>
      </c>
      <c r="DD27" s="217">
        <v>139026</v>
      </c>
      <c r="DE27" s="134">
        <v>139696</v>
      </c>
      <c r="DF27" s="217">
        <v>142718</v>
      </c>
      <c r="DG27" s="217">
        <v>162434</v>
      </c>
      <c r="DH27" s="134">
        <v>152885</v>
      </c>
      <c r="DI27" s="134">
        <v>152932</v>
      </c>
      <c r="DJ27" s="134">
        <v>158449</v>
      </c>
      <c r="DK27" s="134">
        <v>159189</v>
      </c>
      <c r="DL27" s="134">
        <v>198664</v>
      </c>
      <c r="DN27" s="270">
        <v>155102</v>
      </c>
      <c r="DO27" s="270">
        <v>155782</v>
      </c>
      <c r="DP27" s="270">
        <v>157062</v>
      </c>
      <c r="DQ27" s="270">
        <v>161770</v>
      </c>
      <c r="DR27" s="270">
        <v>159467</v>
      </c>
      <c r="DS27" s="270">
        <v>159892</v>
      </c>
      <c r="DT27" s="270">
        <v>182023</v>
      </c>
      <c r="DU27" s="270">
        <v>162400</v>
      </c>
      <c r="DV27" s="270">
        <v>162836</v>
      </c>
      <c r="DW27" s="270">
        <v>160174</v>
      </c>
      <c r="DX27" s="270">
        <v>159093</v>
      </c>
      <c r="DY27" s="270">
        <v>204458</v>
      </c>
      <c r="DZ27" s="271"/>
      <c r="EA27" s="271">
        <v>154518</v>
      </c>
      <c r="EB27" s="271">
        <v>159323</v>
      </c>
      <c r="EC27" s="271">
        <v>157307</v>
      </c>
      <c r="ED27" s="271">
        <v>158536</v>
      </c>
      <c r="EE27" s="271">
        <v>156334</v>
      </c>
      <c r="EF27" s="271">
        <v>158309</v>
      </c>
      <c r="EG27" s="271">
        <v>179796</v>
      </c>
      <c r="EH27" s="271">
        <v>161021</v>
      </c>
      <c r="EI27" s="271">
        <v>156981</v>
      </c>
      <c r="EJ27" s="271">
        <v>155778</v>
      </c>
      <c r="EK27" s="271">
        <v>154913</v>
      </c>
      <c r="EL27" s="271">
        <v>204562</v>
      </c>
      <c r="EN27" s="271">
        <v>151534</v>
      </c>
      <c r="EO27" s="271">
        <v>156759</v>
      </c>
      <c r="EP27" s="271">
        <v>158769</v>
      </c>
      <c r="EQ27" s="271">
        <v>157988</v>
      </c>
      <c r="ER27" s="271">
        <v>156224</v>
      </c>
      <c r="ES27" s="271">
        <v>161051</v>
      </c>
      <c r="ET27" s="271"/>
      <c r="EU27" s="271"/>
      <c r="EV27" s="271"/>
      <c r="EW27" s="271"/>
      <c r="EX27" s="271"/>
      <c r="EY27" s="271"/>
    </row>
    <row r="28" spans="1:155" s="134" customFormat="1" ht="15.75" hidden="1" customHeight="1">
      <c r="A28" s="150" t="s">
        <v>46</v>
      </c>
      <c r="B28" s="150"/>
      <c r="C28" s="150"/>
      <c r="D28" s="150">
        <v>75205</v>
      </c>
      <c r="E28" s="150">
        <v>80777</v>
      </c>
      <c r="F28" s="150">
        <v>80440</v>
      </c>
      <c r="G28" s="150">
        <v>80440</v>
      </c>
      <c r="H28" s="150">
        <v>83089</v>
      </c>
      <c r="I28" s="150">
        <v>84917</v>
      </c>
      <c r="J28" s="150">
        <v>82296</v>
      </c>
      <c r="K28" s="150">
        <v>87161</v>
      </c>
      <c r="L28" s="150">
        <v>89120</v>
      </c>
      <c r="M28" s="150">
        <v>104321</v>
      </c>
      <c r="N28" s="40">
        <v>84914</v>
      </c>
      <c r="O28" s="40">
        <v>86836</v>
      </c>
      <c r="P28" s="40">
        <v>93420</v>
      </c>
      <c r="Q28" s="40">
        <v>95612</v>
      </c>
      <c r="R28" s="40">
        <v>94518</v>
      </c>
      <c r="S28" s="40">
        <v>98929</v>
      </c>
      <c r="T28" s="40">
        <v>104952</v>
      </c>
      <c r="U28" s="40">
        <v>103270</v>
      </c>
      <c r="V28" s="40">
        <v>103445</v>
      </c>
      <c r="W28" s="40">
        <v>104795</v>
      </c>
      <c r="X28" s="40">
        <v>104460</v>
      </c>
      <c r="Y28" s="40">
        <v>131158</v>
      </c>
      <c r="AA28" s="39">
        <v>105612</v>
      </c>
      <c r="AB28" s="39">
        <v>106495</v>
      </c>
      <c r="AC28" s="39">
        <v>116571</v>
      </c>
      <c r="AD28" s="39">
        <v>121086</v>
      </c>
      <c r="AE28" s="39">
        <v>116462</v>
      </c>
      <c r="AF28" s="39">
        <v>122704</v>
      </c>
      <c r="AG28" s="39">
        <v>125585</v>
      </c>
      <c r="AH28" s="39">
        <v>120928</v>
      </c>
      <c r="AI28" s="39">
        <v>120412</v>
      </c>
      <c r="AJ28" s="39">
        <v>124571</v>
      </c>
      <c r="AK28" s="39">
        <v>122045</v>
      </c>
      <c r="AL28" s="39">
        <v>151932</v>
      </c>
      <c r="AM28" s="39"/>
      <c r="AN28" s="39">
        <v>118165</v>
      </c>
      <c r="AO28" s="39">
        <v>120683</v>
      </c>
      <c r="AP28" s="39">
        <v>120472</v>
      </c>
      <c r="AQ28" s="39">
        <v>125999</v>
      </c>
      <c r="AR28" s="39">
        <v>123459</v>
      </c>
      <c r="AS28" s="39">
        <v>123703</v>
      </c>
      <c r="AT28" s="39">
        <v>133895</v>
      </c>
      <c r="AU28" s="39">
        <v>125382</v>
      </c>
      <c r="AV28" s="39">
        <v>128406</v>
      </c>
      <c r="AW28" s="39">
        <v>130379</v>
      </c>
      <c r="AX28" s="39">
        <v>129960</v>
      </c>
      <c r="AY28" s="134">
        <v>160495</v>
      </c>
      <c r="BA28" s="39">
        <v>126829</v>
      </c>
      <c r="BB28" s="39">
        <v>127295</v>
      </c>
      <c r="BC28" s="39">
        <v>137719</v>
      </c>
      <c r="BD28" s="39">
        <v>133538</v>
      </c>
      <c r="BE28" s="40">
        <v>130194</v>
      </c>
      <c r="BF28" s="134">
        <v>136725</v>
      </c>
      <c r="BG28" s="134">
        <v>138203</v>
      </c>
      <c r="BH28" s="134">
        <v>133006</v>
      </c>
      <c r="BI28" s="134">
        <v>132829</v>
      </c>
      <c r="BJ28" s="134">
        <v>131719</v>
      </c>
      <c r="BK28" s="134">
        <v>132866</v>
      </c>
      <c r="BL28" s="134">
        <v>167249</v>
      </c>
      <c r="BN28" s="134">
        <v>130839</v>
      </c>
      <c r="BO28" s="134">
        <v>130200</v>
      </c>
      <c r="BP28" s="134">
        <v>138573</v>
      </c>
      <c r="BQ28" s="134">
        <v>140475</v>
      </c>
      <c r="BR28" s="134">
        <v>136399</v>
      </c>
      <c r="BS28" s="134">
        <v>144352</v>
      </c>
      <c r="BT28" s="134">
        <v>142107</v>
      </c>
      <c r="BU28" s="134">
        <v>138980</v>
      </c>
      <c r="BV28" s="134">
        <v>138134</v>
      </c>
      <c r="BW28" s="134">
        <v>140145</v>
      </c>
      <c r="BX28" s="134">
        <v>138500</v>
      </c>
      <c r="BY28" s="134">
        <v>175974</v>
      </c>
      <c r="CA28" s="134">
        <v>162538</v>
      </c>
      <c r="CB28" s="134">
        <v>160861</v>
      </c>
      <c r="CC28" s="134">
        <v>170535</v>
      </c>
      <c r="CD28" s="134">
        <v>168155</v>
      </c>
      <c r="CE28" s="134">
        <v>175943</v>
      </c>
      <c r="CF28" s="134">
        <v>169612</v>
      </c>
      <c r="CG28" s="134">
        <v>174671</v>
      </c>
      <c r="CH28" s="134">
        <v>172434</v>
      </c>
      <c r="CI28" s="134">
        <v>169374</v>
      </c>
      <c r="CJ28" s="134">
        <v>171511</v>
      </c>
      <c r="CK28" s="134">
        <v>170631</v>
      </c>
      <c r="CL28" s="134">
        <v>210503</v>
      </c>
      <c r="CN28" s="134">
        <v>171869</v>
      </c>
      <c r="CO28" s="134">
        <v>172331</v>
      </c>
      <c r="CP28" s="134">
        <v>176559</v>
      </c>
      <c r="CQ28" s="134">
        <v>180152</v>
      </c>
      <c r="CR28" s="134">
        <v>176626</v>
      </c>
      <c r="CS28" s="134">
        <v>183308</v>
      </c>
      <c r="CT28" s="134">
        <v>189367</v>
      </c>
      <c r="CU28" s="134">
        <v>186799</v>
      </c>
      <c r="CV28" s="134">
        <v>185244</v>
      </c>
      <c r="CW28" s="134">
        <v>185431</v>
      </c>
      <c r="CX28" s="134">
        <v>185986</v>
      </c>
      <c r="CY28" s="217">
        <v>232406</v>
      </c>
      <c r="DA28" s="217">
        <v>185628</v>
      </c>
      <c r="DB28" s="217">
        <v>186450</v>
      </c>
      <c r="DC28" s="217">
        <v>192368</v>
      </c>
      <c r="DD28" s="217">
        <v>193617</v>
      </c>
      <c r="DE28" s="134">
        <v>196132</v>
      </c>
      <c r="DF28" s="217">
        <v>200156</v>
      </c>
      <c r="DG28" s="217">
        <v>204037</v>
      </c>
      <c r="DH28" s="134">
        <v>195754</v>
      </c>
      <c r="DI28" s="134">
        <v>199059</v>
      </c>
      <c r="DJ28" s="134">
        <v>196969</v>
      </c>
      <c r="DK28" s="134">
        <v>197596</v>
      </c>
      <c r="DL28" s="134">
        <v>240351</v>
      </c>
      <c r="DN28" s="270">
        <v>199277</v>
      </c>
      <c r="DO28" s="270">
        <v>199259</v>
      </c>
      <c r="DP28" s="270">
        <v>212496</v>
      </c>
      <c r="DQ28" s="270">
        <v>210482</v>
      </c>
      <c r="DR28" s="270">
        <v>207837</v>
      </c>
      <c r="DS28" s="270">
        <v>210173</v>
      </c>
      <c r="DT28" s="270">
        <v>216990</v>
      </c>
      <c r="DU28" s="270">
        <v>211598</v>
      </c>
      <c r="DV28" s="270">
        <v>210796</v>
      </c>
      <c r="DW28" s="270">
        <v>210335</v>
      </c>
      <c r="DX28" s="270">
        <v>209118</v>
      </c>
      <c r="DY28" s="270">
        <v>248302</v>
      </c>
      <c r="DZ28" s="271"/>
      <c r="EA28" s="271">
        <v>209954</v>
      </c>
      <c r="EB28" s="271">
        <v>212308</v>
      </c>
      <c r="EC28" s="271">
        <v>224162</v>
      </c>
      <c r="ED28" s="271">
        <v>225979</v>
      </c>
      <c r="EE28" s="271">
        <v>221529</v>
      </c>
      <c r="EF28" s="271">
        <v>215970</v>
      </c>
      <c r="EG28" s="271">
        <v>222707</v>
      </c>
      <c r="EH28" s="271">
        <v>214598</v>
      </c>
      <c r="EI28" s="271">
        <v>225497</v>
      </c>
      <c r="EJ28" s="271">
        <v>213694</v>
      </c>
      <c r="EK28" s="271">
        <v>213508</v>
      </c>
      <c r="EL28" s="271">
        <v>271148</v>
      </c>
      <c r="EN28" s="271">
        <v>216804</v>
      </c>
      <c r="EO28" s="271">
        <v>215827</v>
      </c>
      <c r="EP28" s="271">
        <v>233084</v>
      </c>
      <c r="EQ28" s="271">
        <v>227243</v>
      </c>
      <c r="ER28" s="271">
        <v>228043</v>
      </c>
      <c r="ES28" s="271">
        <v>230431</v>
      </c>
      <c r="ET28" s="271"/>
      <c r="EU28" s="271"/>
      <c r="EV28" s="271"/>
      <c r="EW28" s="271"/>
      <c r="EX28" s="271"/>
      <c r="EY28" s="271"/>
    </row>
    <row r="29" spans="1:155" s="134" customFormat="1" ht="12.75" hidden="1" customHeight="1">
      <c r="A29" s="278" t="s">
        <v>125</v>
      </c>
      <c r="B29" s="150"/>
      <c r="C29" s="150"/>
      <c r="D29" s="150"/>
      <c r="E29" s="150"/>
      <c r="F29" s="150"/>
      <c r="G29" s="150"/>
      <c r="H29" s="150"/>
      <c r="I29" s="150"/>
      <c r="J29" s="150"/>
      <c r="K29" s="150"/>
      <c r="L29" s="150"/>
      <c r="M29" s="151">
        <v>331.4636363636364</v>
      </c>
      <c r="N29" s="40">
        <v>314.65454545454543</v>
      </c>
      <c r="O29" s="40">
        <v>307.90909090909088</v>
      </c>
      <c r="P29" s="40">
        <v>309.32727272727271</v>
      </c>
      <c r="Q29" s="40">
        <v>322.50909090909096</v>
      </c>
      <c r="R29" s="40">
        <v>335.82727272727271</v>
      </c>
      <c r="S29" s="40">
        <v>346.83636363636356</v>
      </c>
      <c r="T29" s="40">
        <v>347.68181818181819</v>
      </c>
      <c r="U29" s="40">
        <v>345.97272727272724</v>
      </c>
      <c r="V29" s="40">
        <v>341.18181818181819</v>
      </c>
      <c r="W29" s="40">
        <v>342.90909090909093</v>
      </c>
      <c r="X29" s="40">
        <v>349.07272727272726</v>
      </c>
      <c r="Y29" s="40">
        <v>352.58181818181816</v>
      </c>
      <c r="AA29" s="39">
        <v>353.86363636363637</v>
      </c>
      <c r="AB29" s="39">
        <v>354.77272727272725</v>
      </c>
      <c r="AC29" s="39">
        <v>355.9454545454546</v>
      </c>
      <c r="AD29" s="39">
        <v>361.83636363636373</v>
      </c>
      <c r="AE29" s="39">
        <v>381.43636363636358</v>
      </c>
      <c r="AF29" s="39">
        <v>404.66363636363627</v>
      </c>
      <c r="AG29" s="39">
        <v>417.3</v>
      </c>
      <c r="AH29" s="39">
        <v>422.22727272727263</v>
      </c>
      <c r="AI29" s="39">
        <v>426.71818181818179</v>
      </c>
      <c r="AJ29" s="39">
        <v>395.70909090909095</v>
      </c>
      <c r="AK29" s="39">
        <v>351.44545454545454</v>
      </c>
      <c r="AL29" s="39">
        <v>296.50000000000006</v>
      </c>
      <c r="AM29" s="39"/>
      <c r="AN29" s="39">
        <v>268.53636363636366</v>
      </c>
      <c r="AO29" s="39">
        <v>256.90000000000003</v>
      </c>
      <c r="AP29" s="39">
        <v>288.57272727272726</v>
      </c>
      <c r="AQ29" s="39">
        <v>292.79090909090911</v>
      </c>
      <c r="AR29" s="39">
        <v>308.73636363636365</v>
      </c>
      <c r="AS29" s="39">
        <v>336.25454545454545</v>
      </c>
      <c r="AT29" s="39">
        <v>349.85454545454542</v>
      </c>
      <c r="AU29" s="39">
        <v>348.46363636363634</v>
      </c>
      <c r="AV29" s="39">
        <v>357.94545454545454</v>
      </c>
      <c r="AW29" s="39">
        <v>358.55454545454546</v>
      </c>
      <c r="AX29" s="39">
        <v>372.53636363636355</v>
      </c>
      <c r="AY29" s="152">
        <v>376.5181818181818</v>
      </c>
      <c r="AZ29" s="39"/>
      <c r="BA29" s="152">
        <v>372.23636363636365</v>
      </c>
      <c r="BB29" s="152">
        <v>370.90909090909093</v>
      </c>
      <c r="BC29" s="152">
        <v>384.74545454545461</v>
      </c>
      <c r="BD29" s="152">
        <v>403.20909090909095</v>
      </c>
      <c r="BE29" s="152">
        <v>406.08181818181816</v>
      </c>
      <c r="BF29" s="152">
        <v>392.38181818181823</v>
      </c>
      <c r="BG29" s="152">
        <v>380.60909090909098</v>
      </c>
      <c r="BH29" s="152">
        <v>376.57272727272726</v>
      </c>
      <c r="BI29" s="152">
        <v>369.21818181818185</v>
      </c>
      <c r="BJ29" s="152">
        <v>373.44545454545454</v>
      </c>
      <c r="BK29" s="152">
        <v>374.65454545454543</v>
      </c>
      <c r="BL29" s="40">
        <v>380.9636363636364</v>
      </c>
      <c r="BM29" s="40"/>
      <c r="BN29" s="40">
        <v>389.40909090909093</v>
      </c>
      <c r="BO29" s="40">
        <v>405.76363636363635</v>
      </c>
      <c r="BP29" s="40">
        <v>417.37272727272722</v>
      </c>
      <c r="BQ29" s="40">
        <v>435.58181818181816</v>
      </c>
      <c r="BR29" s="40">
        <v>458.26363636363635</v>
      </c>
      <c r="BS29" s="40">
        <v>464.22727272727275</v>
      </c>
      <c r="BT29" s="40">
        <v>463.84545454545457</v>
      </c>
      <c r="BU29" s="40">
        <v>464.4636363636364</v>
      </c>
      <c r="BV29" s="40">
        <v>458.02727272727276</v>
      </c>
      <c r="BW29" s="40">
        <v>447.02727272727265</v>
      </c>
      <c r="BX29" s="40">
        <v>444.42727272727279</v>
      </c>
      <c r="BY29" s="40">
        <v>448.4818181818182</v>
      </c>
      <c r="CA29" s="40">
        <v>448.39090909090902</v>
      </c>
      <c r="CB29" s="40">
        <v>460.82727272727277</v>
      </c>
      <c r="CC29" s="40">
        <v>474.95454545454544</v>
      </c>
      <c r="CD29" s="40">
        <v>503.90000000000003</v>
      </c>
      <c r="CE29" s="40">
        <v>507.40000000000003</v>
      </c>
      <c r="CF29" s="40">
        <v>498.84545454545457</v>
      </c>
      <c r="CG29" s="40">
        <v>489.9636363636364</v>
      </c>
      <c r="CH29" s="40">
        <v>486.00909090909096</v>
      </c>
      <c r="CI29" s="40">
        <v>503.77272727272725</v>
      </c>
      <c r="CJ29" s="40">
        <v>506.50909090909096</v>
      </c>
      <c r="CK29" s="40">
        <v>500.81818181818181</v>
      </c>
      <c r="CL29" s="40">
        <v>498.81818181818193</v>
      </c>
      <c r="CM29" s="40"/>
      <c r="CN29" s="40">
        <v>497.82727272727277</v>
      </c>
      <c r="CO29" s="40">
        <v>496.14545454545447</v>
      </c>
      <c r="CP29" s="40">
        <v>498.37272727272733</v>
      </c>
      <c r="CQ29" s="40">
        <v>498.32727272727266</v>
      </c>
      <c r="CR29" s="40">
        <v>496.61818181818182</v>
      </c>
      <c r="CS29" s="40">
        <v>487.60909090909098</v>
      </c>
      <c r="CT29" s="40">
        <v>486.9</v>
      </c>
      <c r="CU29" s="40">
        <v>487.26363636363635</v>
      </c>
      <c r="CV29" s="40">
        <v>487.17272727272723</v>
      </c>
      <c r="CW29" s="40">
        <v>487.22727272727275</v>
      </c>
      <c r="CX29" s="40">
        <v>487.5545454545454</v>
      </c>
      <c r="CY29" s="40">
        <v>487.30909090909086</v>
      </c>
      <c r="CZ29" s="40"/>
      <c r="DA29" s="40">
        <v>487.6</v>
      </c>
      <c r="DB29" s="40">
        <v>487.99090909090916</v>
      </c>
      <c r="DC29" s="40">
        <v>474.3</v>
      </c>
      <c r="DD29" s="40">
        <v>471.10909090909087</v>
      </c>
      <c r="DE29" s="40">
        <v>475.9818181818182</v>
      </c>
      <c r="DF29" s="40">
        <v>476.43636363636364</v>
      </c>
      <c r="DG29" s="40">
        <v>475.5545454545454</v>
      </c>
      <c r="DH29" s="40">
        <v>475.43636363636358</v>
      </c>
      <c r="DI29" s="40">
        <v>475.98</v>
      </c>
      <c r="DJ29" s="40">
        <v>474.2</v>
      </c>
      <c r="DK29" s="40">
        <v>462.17272727272734</v>
      </c>
      <c r="DL29" s="40">
        <v>470.10909090909087</v>
      </c>
      <c r="DM29" s="40"/>
      <c r="DN29" s="271">
        <v>478</v>
      </c>
      <c r="DO29" s="271">
        <v>447.71818181818179</v>
      </c>
      <c r="DP29" s="271">
        <v>430.28181818181821</v>
      </c>
      <c r="DQ29" s="271">
        <v>427.37272727272733</v>
      </c>
      <c r="DR29" s="271">
        <v>426.3</v>
      </c>
      <c r="DS29" s="271">
        <v>426.2</v>
      </c>
      <c r="DT29" s="271">
        <v>432.79090909090905</v>
      </c>
      <c r="DU29" s="271">
        <v>434.55454545454546</v>
      </c>
      <c r="DV29" s="271">
        <v>435.25454545454539</v>
      </c>
      <c r="DW29" s="271">
        <v>435.16363636363627</v>
      </c>
      <c r="DX29" s="271">
        <v>427.58181818181822</v>
      </c>
      <c r="DY29" s="271">
        <v>424.60909090909098</v>
      </c>
      <c r="DZ29" s="271"/>
      <c r="EA29" s="271">
        <v>404.9454545454546</v>
      </c>
      <c r="EB29" s="271">
        <v>393.29090909090905</v>
      </c>
      <c r="EC29" s="271">
        <v>382.6</v>
      </c>
      <c r="ED29" s="271">
        <v>375.45454545454544</v>
      </c>
      <c r="EE29" s="271">
        <v>375.56363636363642</v>
      </c>
      <c r="EF29" s="271">
        <v>383.01818181818186</v>
      </c>
      <c r="EG29" s="271">
        <v>383.25454545454545</v>
      </c>
      <c r="EH29" s="271">
        <v>383.25454545454545</v>
      </c>
      <c r="EI29" s="271">
        <v>383.13636363636363</v>
      </c>
      <c r="EJ29" s="271">
        <v>372.24545454545455</v>
      </c>
      <c r="EK29" s="271">
        <v>357.42727272727268</v>
      </c>
      <c r="EL29" s="271">
        <v>345.5181818181818</v>
      </c>
      <c r="EN29" s="271">
        <v>348.1</v>
      </c>
      <c r="EO29" s="271">
        <v>380</v>
      </c>
      <c r="EP29" s="271">
        <v>389.5</v>
      </c>
      <c r="EQ29" s="271">
        <v>398.5</v>
      </c>
      <c r="ER29" s="271">
        <v>397.1</v>
      </c>
      <c r="ES29" s="271">
        <v>397</v>
      </c>
      <c r="ET29" s="271"/>
      <c r="EU29" s="271"/>
      <c r="EV29" s="271"/>
      <c r="EW29" s="271"/>
      <c r="EX29" s="271"/>
      <c r="EY29" s="271"/>
    </row>
    <row r="30" spans="1:155" s="134" customFormat="1" ht="15.75" hidden="1" customHeight="1">
      <c r="A30" s="278" t="s">
        <v>126</v>
      </c>
      <c r="B30" s="150"/>
      <c r="C30" s="150"/>
      <c r="D30" s="150"/>
      <c r="E30" s="150"/>
      <c r="F30" s="150"/>
      <c r="G30" s="150"/>
      <c r="H30" s="150"/>
      <c r="I30" s="150"/>
      <c r="J30" s="150"/>
      <c r="K30" s="150"/>
      <c r="L30" s="150"/>
      <c r="M30" s="151">
        <v>294.35454545454547</v>
      </c>
      <c r="N30" s="40">
        <v>288.43636363636364</v>
      </c>
      <c r="O30" s="40">
        <v>283.46363636363634</v>
      </c>
      <c r="P30" s="40">
        <v>282.36363636363637</v>
      </c>
      <c r="Q30" s="40">
        <v>279.63636363636363</v>
      </c>
      <c r="R30" s="40">
        <v>280.83636363636361</v>
      </c>
      <c r="S30" s="40">
        <v>281.63636363636363</v>
      </c>
      <c r="T30" s="40">
        <v>283.05454545454546</v>
      </c>
      <c r="U30" s="40">
        <v>282.97272727272724</v>
      </c>
      <c r="V30" s="40">
        <v>280.5181818181818</v>
      </c>
      <c r="W30" s="40">
        <v>287.69090909090909</v>
      </c>
      <c r="X30" s="40">
        <v>300.94545454545454</v>
      </c>
      <c r="Y30" s="40">
        <v>318.91818181818184</v>
      </c>
      <c r="AA30" s="39">
        <v>321.60909090909087</v>
      </c>
      <c r="AB30" s="39">
        <v>320.80909090909086</v>
      </c>
      <c r="AC30" s="39">
        <v>325.87272727272727</v>
      </c>
      <c r="AD30" s="39">
        <v>344.10909090909098</v>
      </c>
      <c r="AE30" s="39">
        <v>370.05454545454546</v>
      </c>
      <c r="AF30" s="39">
        <v>415.75454545454545</v>
      </c>
      <c r="AG30" s="39">
        <v>422.86363636363637</v>
      </c>
      <c r="AH30" s="39">
        <v>424.79090909090905</v>
      </c>
      <c r="AI30" s="39">
        <v>428.4454545454546</v>
      </c>
      <c r="AJ30" s="39">
        <v>397.59090909090907</v>
      </c>
      <c r="AK30" s="39">
        <v>353.86363636363637</v>
      </c>
      <c r="AL30" s="39">
        <v>296.65454545454548</v>
      </c>
      <c r="AM30" s="39"/>
      <c r="AN30" s="39">
        <v>263.5</v>
      </c>
      <c r="AO30" s="39">
        <v>251</v>
      </c>
      <c r="AP30" s="39">
        <v>269.93636363636364</v>
      </c>
      <c r="AQ30" s="39">
        <v>260.9636363636364</v>
      </c>
      <c r="AR30" s="39">
        <v>268.64545454545453</v>
      </c>
      <c r="AS30" s="39">
        <v>279.48181818181814</v>
      </c>
      <c r="AT30" s="39">
        <v>280.04545454545456</v>
      </c>
      <c r="AU30" s="39">
        <v>286.28181818181821</v>
      </c>
      <c r="AV30" s="39">
        <v>299.66363636363633</v>
      </c>
      <c r="AW30" s="39">
        <v>300.91818181818184</v>
      </c>
      <c r="AX30" s="39">
        <v>317.34545454545457</v>
      </c>
      <c r="AY30" s="152">
        <v>321.55454545454546</v>
      </c>
      <c r="BA30" s="152">
        <v>320.62727272727267</v>
      </c>
      <c r="BB30" s="152">
        <v>319.12727272727267</v>
      </c>
      <c r="BC30" s="152">
        <v>331.5</v>
      </c>
      <c r="BD30" s="152">
        <v>353.49090909090904</v>
      </c>
      <c r="BE30" s="152">
        <v>357.33636363636361</v>
      </c>
      <c r="BF30" s="152">
        <v>348.67272727272729</v>
      </c>
      <c r="BG30" s="152">
        <v>338.05454545454546</v>
      </c>
      <c r="BH30" s="152">
        <v>336.06363636363636</v>
      </c>
      <c r="BI30" s="152">
        <v>330.65454545454548</v>
      </c>
      <c r="BJ30" s="152">
        <v>334.73636363636365</v>
      </c>
      <c r="BK30" s="152">
        <v>338.85454545454553</v>
      </c>
      <c r="BL30" s="40">
        <v>345.89090909090908</v>
      </c>
      <c r="BM30" s="40"/>
      <c r="BN30" s="40">
        <v>352.07272727272726</v>
      </c>
      <c r="BO30" s="40">
        <v>370.65454545454543</v>
      </c>
      <c r="BP30" s="40">
        <v>390.36363636363637</v>
      </c>
      <c r="BQ30" s="40">
        <v>415.81818181818193</v>
      </c>
      <c r="BR30" s="40">
        <v>436.81818181818181</v>
      </c>
      <c r="BS30" s="40">
        <v>438.50909090909096</v>
      </c>
      <c r="BT30" s="40">
        <v>437.77272727272725</v>
      </c>
      <c r="BU30" s="40">
        <v>440.12727272727278</v>
      </c>
      <c r="BV30" s="40">
        <v>434.49090909090904</v>
      </c>
      <c r="BW30" s="40">
        <v>428.99090909090916</v>
      </c>
      <c r="BX30" s="40">
        <v>427.88181818181823</v>
      </c>
      <c r="BY30" s="40">
        <v>436.91818181818184</v>
      </c>
      <c r="CA30" s="40">
        <v>436.59090909090907</v>
      </c>
      <c r="CB30" s="40">
        <v>441.90909090909099</v>
      </c>
      <c r="CC30" s="40">
        <v>447.85454545454542</v>
      </c>
      <c r="CD30" s="40">
        <v>457.5</v>
      </c>
      <c r="CE30" s="40">
        <v>457.80909090909097</v>
      </c>
      <c r="CF30" s="40">
        <v>456.61818181818182</v>
      </c>
      <c r="CG30" s="40">
        <v>453.77272727272725</v>
      </c>
      <c r="CH30" s="40">
        <v>453.61818181818182</v>
      </c>
      <c r="CI30" s="40">
        <v>465.23636363636365</v>
      </c>
      <c r="CJ30" s="40">
        <v>466.53636363636366</v>
      </c>
      <c r="CK30" s="40">
        <v>464.65454545454554</v>
      </c>
      <c r="CL30" s="40">
        <v>463.2</v>
      </c>
      <c r="CM30" s="40"/>
      <c r="CN30" s="40">
        <v>462.28181818181815</v>
      </c>
      <c r="CO30" s="40">
        <v>465.12727272727261</v>
      </c>
      <c r="CP30" s="40">
        <v>468.86363636363637</v>
      </c>
      <c r="CQ30" s="40">
        <v>471.65454545454554</v>
      </c>
      <c r="CR30" s="40">
        <v>469.93636363636364</v>
      </c>
      <c r="CS30" s="40">
        <v>464.36363636363637</v>
      </c>
      <c r="CT30" s="40">
        <v>464.58181818181816</v>
      </c>
      <c r="CU30" s="40">
        <v>465.1</v>
      </c>
      <c r="CV30" s="40">
        <v>464.88181818181823</v>
      </c>
      <c r="CW30" s="40">
        <v>463.87272727272733</v>
      </c>
      <c r="CX30" s="40">
        <v>464.4636363636364</v>
      </c>
      <c r="CY30" s="40">
        <v>464.54545454545456</v>
      </c>
      <c r="CZ30" s="40"/>
      <c r="DA30" s="40">
        <v>464.80909090909086</v>
      </c>
      <c r="DB30" s="40">
        <v>464.9636363636364</v>
      </c>
      <c r="DC30" s="40">
        <v>458.18181818181819</v>
      </c>
      <c r="DD30" s="40">
        <v>457.19090909090903</v>
      </c>
      <c r="DE30" s="40">
        <v>455.74545454545455</v>
      </c>
      <c r="DF30" s="40">
        <v>454.6</v>
      </c>
      <c r="DG30" s="40">
        <v>454.09999999999997</v>
      </c>
      <c r="DH30" s="40">
        <v>453.85454545454542</v>
      </c>
      <c r="DI30" s="40">
        <v>454.58000000000004</v>
      </c>
      <c r="DJ30" s="40">
        <v>453.5181818181818</v>
      </c>
      <c r="DK30" s="40">
        <v>448.74545454545455</v>
      </c>
      <c r="DL30" s="40">
        <v>458.1</v>
      </c>
      <c r="DM30" s="40"/>
      <c r="DN30" s="271">
        <v>462.0363636363636</v>
      </c>
      <c r="DO30" s="271">
        <v>439.52727272727265</v>
      </c>
      <c r="DP30" s="271">
        <v>421.15454545454543</v>
      </c>
      <c r="DQ30" s="271">
        <v>409.02</v>
      </c>
      <c r="DR30" s="271">
        <v>403.9454545454546</v>
      </c>
      <c r="DS30" s="271">
        <v>406.83636363636361</v>
      </c>
      <c r="DT30" s="271">
        <v>413.12727272727267</v>
      </c>
      <c r="DU30" s="271">
        <v>416.02727272727276</v>
      </c>
      <c r="DV30" s="271">
        <v>416.62727272727278</v>
      </c>
      <c r="DW30" s="271">
        <v>415.83636363636361</v>
      </c>
      <c r="DX30" s="271">
        <v>409.33636363636361</v>
      </c>
      <c r="DY30" s="271">
        <v>407.6</v>
      </c>
      <c r="DZ30" s="271"/>
      <c r="EA30" s="271">
        <v>387.06363636363636</v>
      </c>
      <c r="EB30" s="271">
        <v>373.70000000000005</v>
      </c>
      <c r="EC30" s="271">
        <v>358</v>
      </c>
      <c r="ED30" s="271">
        <v>350.21818181818185</v>
      </c>
      <c r="EE30" s="271">
        <v>341.35454545454553</v>
      </c>
      <c r="EF30" s="271">
        <v>325.40000000000003</v>
      </c>
      <c r="EG30" s="271">
        <v>338.86363636363632</v>
      </c>
      <c r="EH30" s="271">
        <v>340.17272727272734</v>
      </c>
      <c r="EI30" s="271">
        <v>339.80909090909097</v>
      </c>
      <c r="EJ30" s="271">
        <v>335.25454545454545</v>
      </c>
      <c r="EK30" s="271">
        <v>325.5181818181818</v>
      </c>
      <c r="EL30" s="271">
        <v>320.16363636363639</v>
      </c>
      <c r="EN30" s="271">
        <v>325.5</v>
      </c>
      <c r="EO30" s="271">
        <v>358.2</v>
      </c>
      <c r="EP30" s="271">
        <v>365.3</v>
      </c>
      <c r="EQ30" s="271">
        <v>367.5</v>
      </c>
      <c r="ER30" s="271">
        <v>367.9</v>
      </c>
      <c r="ES30" s="271">
        <v>367.8</v>
      </c>
      <c r="ET30" s="271"/>
      <c r="EU30" s="271"/>
      <c r="EV30" s="271"/>
      <c r="EW30" s="271"/>
      <c r="EX30" s="271"/>
      <c r="EY30" s="271"/>
    </row>
    <row r="31" spans="1:155" s="134" customFormat="1" ht="5.25" hidden="1" customHeight="1">
      <c r="A31" s="150"/>
      <c r="B31" s="150"/>
      <c r="C31" s="150"/>
      <c r="D31" s="150"/>
      <c r="E31" s="150"/>
      <c r="F31" s="150"/>
      <c r="G31" s="150"/>
      <c r="H31" s="150"/>
      <c r="I31" s="150"/>
      <c r="J31" s="150"/>
      <c r="K31" s="150"/>
      <c r="L31" s="150"/>
      <c r="M31" s="150"/>
      <c r="N31" s="40"/>
      <c r="O31" s="40"/>
      <c r="P31" s="40"/>
      <c r="Q31" s="40"/>
      <c r="R31" s="40"/>
      <c r="S31" s="40"/>
      <c r="T31" s="40"/>
      <c r="U31" s="40"/>
      <c r="V31" s="40"/>
      <c r="W31" s="40"/>
      <c r="X31" s="40"/>
      <c r="Y31" s="40"/>
      <c r="AA31" s="39"/>
      <c r="AB31" s="39"/>
      <c r="AC31" s="39"/>
      <c r="AD31" s="39"/>
      <c r="AE31" s="39"/>
      <c r="AF31" s="39"/>
      <c r="AG31" s="39"/>
      <c r="AH31" s="39"/>
      <c r="AI31" s="39"/>
      <c r="AJ31" s="39"/>
      <c r="AK31" s="39"/>
      <c r="AL31" s="39"/>
      <c r="AM31" s="39"/>
      <c r="AN31" s="39"/>
      <c r="AO31" s="39"/>
      <c r="AP31" s="39"/>
      <c r="AQ31" s="39"/>
      <c r="DN31" s="271"/>
      <c r="DO31" s="271"/>
      <c r="DP31" s="271"/>
      <c r="DQ31" s="271"/>
      <c r="DR31" s="271"/>
      <c r="DS31" s="271"/>
      <c r="DT31" s="271"/>
      <c r="DU31" s="271"/>
      <c r="DV31" s="271"/>
      <c r="DW31" s="271"/>
      <c r="DX31" s="271"/>
      <c r="DY31" s="271"/>
      <c r="DZ31" s="271"/>
      <c r="EA31" s="271"/>
      <c r="EB31" s="271"/>
      <c r="EC31" s="271"/>
      <c r="ED31" s="271"/>
      <c r="EE31" s="271"/>
      <c r="EF31" s="271"/>
      <c r="EG31" s="271"/>
      <c r="EH31" s="271"/>
      <c r="EI31" s="271"/>
      <c r="EJ31" s="271"/>
      <c r="EK31" s="271"/>
      <c r="EL31" s="271"/>
      <c r="EN31" s="271"/>
      <c r="EO31" s="271"/>
      <c r="EP31" s="271"/>
      <c r="EQ31" s="271"/>
      <c r="ER31" s="271"/>
      <c r="ES31" s="271"/>
      <c r="ET31" s="271"/>
      <c r="EU31" s="271"/>
      <c r="EV31" s="271"/>
      <c r="EW31" s="271"/>
      <c r="EX31" s="271"/>
      <c r="EY31" s="271"/>
    </row>
    <row r="32" spans="1:155" s="134" customFormat="1" ht="12.75" customHeight="1">
      <c r="DN32" s="271"/>
      <c r="DO32" s="271"/>
      <c r="DP32" s="271"/>
      <c r="DQ32" s="271"/>
      <c r="DR32" s="271"/>
      <c r="DS32" s="271"/>
      <c r="DT32" s="271"/>
      <c r="DU32" s="271"/>
      <c r="DV32" s="271"/>
      <c r="DW32" s="271"/>
      <c r="DX32" s="271"/>
      <c r="DY32" s="271"/>
      <c r="DZ32" s="271"/>
      <c r="EA32" s="271"/>
      <c r="EB32" s="271"/>
      <c r="EC32" s="271"/>
      <c r="ED32" s="271"/>
      <c r="EE32" s="271"/>
      <c r="EF32" s="271"/>
      <c r="EG32" s="271"/>
      <c r="EH32" s="271"/>
      <c r="EI32" s="271"/>
      <c r="EJ32" s="271"/>
      <c r="EK32" s="271"/>
      <c r="EL32" s="271"/>
      <c r="EN32" s="271"/>
      <c r="EO32" s="271"/>
      <c r="EP32" s="271"/>
      <c r="EQ32" s="271"/>
      <c r="ER32" s="271"/>
      <c r="ES32" s="271"/>
      <c r="ET32" s="271"/>
      <c r="EU32" s="271"/>
      <c r="EV32" s="271"/>
      <c r="EW32" s="271"/>
      <c r="EX32" s="271"/>
      <c r="EY32" s="271"/>
    </row>
    <row r="33" spans="1:155">
      <c r="A33" s="297" t="s">
        <v>27</v>
      </c>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S33" s="297"/>
      <c r="BT33" s="297"/>
      <c r="BU33" s="297"/>
      <c r="BV33" s="297"/>
      <c r="BW33" s="297"/>
      <c r="BX33" s="297"/>
      <c r="BY33" s="297"/>
      <c r="BZ33" s="297"/>
      <c r="CA33" s="297"/>
      <c r="CB33" s="297"/>
      <c r="CC33" s="297"/>
      <c r="CD33" s="297"/>
      <c r="CE33" s="297"/>
      <c r="CF33" s="297"/>
      <c r="CG33" s="297"/>
      <c r="CH33" s="297"/>
      <c r="CI33" s="297"/>
      <c r="CJ33" s="297"/>
      <c r="CK33" s="297"/>
      <c r="CL33" s="297"/>
      <c r="CM33" s="297"/>
      <c r="CN33" s="297"/>
      <c r="CO33" s="297"/>
      <c r="CP33" s="297"/>
      <c r="CQ33" s="297"/>
      <c r="CR33" s="297"/>
      <c r="CS33" s="297"/>
      <c r="CT33" s="297"/>
      <c r="CU33" s="297"/>
      <c r="CV33" s="297"/>
      <c r="CW33" s="297"/>
      <c r="CX33" s="297"/>
      <c r="CY33" s="297"/>
      <c r="CZ33" s="297"/>
      <c r="DA33" s="297"/>
      <c r="DB33" s="297"/>
      <c r="DC33" s="297"/>
      <c r="DD33" s="297"/>
      <c r="DE33" s="297"/>
      <c r="DF33" s="297"/>
      <c r="DG33" s="297"/>
      <c r="DH33" s="297"/>
      <c r="DI33" s="297"/>
      <c r="DJ33" s="297"/>
      <c r="DK33" s="297"/>
      <c r="DL33" s="297"/>
      <c r="DM33" s="297"/>
      <c r="DN33" s="297"/>
      <c r="DO33" s="297"/>
      <c r="DP33" s="297"/>
      <c r="DQ33" s="297"/>
      <c r="DR33" s="297"/>
      <c r="DS33" s="297"/>
      <c r="DT33" s="297"/>
      <c r="DU33" s="297"/>
      <c r="DV33" s="297"/>
      <c r="DW33" s="297"/>
      <c r="DX33" s="297"/>
      <c r="DY33" s="297"/>
      <c r="DZ33" s="297"/>
      <c r="EA33" s="297"/>
      <c r="EB33" s="297"/>
      <c r="EC33" s="297"/>
      <c r="ED33" s="297"/>
      <c r="EE33" s="297"/>
      <c r="EF33" s="297"/>
      <c r="EG33" s="297"/>
      <c r="EH33" s="297"/>
      <c r="EI33" s="297"/>
      <c r="EJ33" s="297"/>
      <c r="EK33" s="297"/>
      <c r="EL33" s="297"/>
      <c r="EM33" s="297"/>
      <c r="EN33" s="297"/>
      <c r="EO33" s="297"/>
      <c r="EP33" s="297"/>
      <c r="EQ33" s="297"/>
      <c r="ER33" s="297"/>
      <c r="ES33" s="297"/>
      <c r="ET33" s="297"/>
      <c r="EU33" s="297"/>
      <c r="EV33" s="297"/>
      <c r="EW33" s="297"/>
      <c r="EX33" s="297"/>
      <c r="EY33" s="297"/>
    </row>
    <row r="34" spans="1:155" ht="12.75" customHeight="1">
      <c r="A34" s="113" t="s">
        <v>66</v>
      </c>
      <c r="B34" s="95"/>
      <c r="C34" s="95"/>
      <c r="D34" s="95"/>
      <c r="E34" s="95"/>
      <c r="F34" s="95"/>
      <c r="G34" s="95"/>
      <c r="H34" s="95"/>
      <c r="I34" s="95"/>
      <c r="J34" s="95"/>
      <c r="K34" s="95"/>
      <c r="L34" s="95"/>
      <c r="M34" s="95"/>
      <c r="N34" s="38">
        <f t="shared" ref="N34:Y34" si="20">N26/N$16</f>
        <v>186.96257130930846</v>
      </c>
      <c r="O34" s="38">
        <f t="shared" si="20"/>
        <v>196.74500155538587</v>
      </c>
      <c r="P34" s="38">
        <f t="shared" si="20"/>
        <v>198.67450915417115</v>
      </c>
      <c r="Q34" s="38">
        <f t="shared" si="20"/>
        <v>204.15441073479562</v>
      </c>
      <c r="R34" s="38">
        <f t="shared" si="20"/>
        <v>210.06410440681864</v>
      </c>
      <c r="S34" s="38">
        <f t="shared" si="20"/>
        <v>222.70127584689837</v>
      </c>
      <c r="T34" s="38">
        <f t="shared" si="20"/>
        <v>238.0212349486921</v>
      </c>
      <c r="U34" s="38">
        <f t="shared" si="20"/>
        <v>229.48964274992494</v>
      </c>
      <c r="V34" s="38">
        <f t="shared" si="20"/>
        <v>233.19634295244049</v>
      </c>
      <c r="W34" s="38">
        <f t="shared" si="20"/>
        <v>248.05746101079703</v>
      </c>
      <c r="X34" s="38">
        <f t="shared" si="20"/>
        <v>263.42973176563066</v>
      </c>
      <c r="Y34" s="38">
        <f t="shared" si="20"/>
        <v>344.602590230754</v>
      </c>
      <c r="AA34" s="38">
        <f t="shared" ref="AA34:AF34" si="21">AA26/AA$16</f>
        <v>268.47868596010954</v>
      </c>
      <c r="AB34" s="38">
        <f t="shared" si="21"/>
        <v>272.95409505864006</v>
      </c>
      <c r="AC34" s="38">
        <f t="shared" si="21"/>
        <v>285.6078112286412</v>
      </c>
      <c r="AD34" s="38">
        <f t="shared" si="21"/>
        <v>292.75796884166613</v>
      </c>
      <c r="AE34" s="38">
        <f t="shared" si="21"/>
        <v>287.63092432573973</v>
      </c>
      <c r="AF34" s="38">
        <f t="shared" si="21"/>
        <v>304.42755658351234</v>
      </c>
      <c r="AG34" s="38">
        <f t="shared" ref="AG34:AN34" si="22">AG26/AG$16</f>
        <v>322.42083928630757</v>
      </c>
      <c r="AH34" s="38">
        <f t="shared" si="22"/>
        <v>296.90436158639108</v>
      </c>
      <c r="AI34" s="38">
        <f t="shared" si="22"/>
        <v>306.72580431616575</v>
      </c>
      <c r="AJ34" s="38">
        <f t="shared" si="22"/>
        <v>309.31497869550964</v>
      </c>
      <c r="AK34" s="38">
        <f t="shared" si="22"/>
        <v>306.6596817497217</v>
      </c>
      <c r="AL34" s="38">
        <f t="shared" si="22"/>
        <v>392.41352329410228</v>
      </c>
      <c r="AM34" s="87"/>
      <c r="AN34" s="38">
        <f t="shared" si="22"/>
        <v>306.39887290717866</v>
      </c>
      <c r="AO34" s="38">
        <f t="shared" ref="AO34:AP36" si="23">AO26/AO$16</f>
        <v>320.17787659811006</v>
      </c>
      <c r="AP34" s="38">
        <f t="shared" si="23"/>
        <v>264.92101041411752</v>
      </c>
      <c r="AQ34" s="38">
        <f t="shared" ref="AQ34:AR36" si="24">AQ26/AQ$16</f>
        <v>267.88352655702346</v>
      </c>
      <c r="AR34" s="38">
        <f t="shared" si="24"/>
        <v>266.91692773036624</v>
      </c>
      <c r="AS34" s="38">
        <f t="shared" ref="AS34:AT36" si="25">AS26/AS$16</f>
        <v>277.63428317502638</v>
      </c>
      <c r="AT34" s="38">
        <f t="shared" si="25"/>
        <v>288.92099152130476</v>
      </c>
      <c r="AU34" s="38">
        <f t="shared" ref="AU34:AV36" si="26">AU26/AU$16</f>
        <v>263.43194003574382</v>
      </c>
      <c r="AV34" s="38">
        <f t="shared" si="26"/>
        <v>262.047849536272</v>
      </c>
      <c r="AW34" s="38">
        <f t="shared" ref="AW34:AX36" si="27">AW26/AW$16</f>
        <v>265.31821828816936</v>
      </c>
      <c r="AX34" s="38">
        <f t="shared" si="27"/>
        <v>268.05078291651995</v>
      </c>
      <c r="AY34" s="38">
        <f>AY26/AY$16</f>
        <v>346.37857577601949</v>
      </c>
      <c r="AZ34" s="38"/>
      <c r="BA34" s="38">
        <f t="shared" ref="BA34:BC36" si="28">BA26/BA$16</f>
        <v>264.28362844779525</v>
      </c>
      <c r="BB34" s="38">
        <f t="shared" si="28"/>
        <v>266.14651006582977</v>
      </c>
      <c r="BC34" s="38">
        <f t="shared" si="28"/>
        <v>264.9812734082397</v>
      </c>
      <c r="BD34" s="38">
        <f t="shared" ref="BD34:BE36" si="29">BD26/BD$16</f>
        <v>273.05504650082747</v>
      </c>
      <c r="BE34" s="38">
        <f t="shared" si="29"/>
        <v>275.69151406574895</v>
      </c>
      <c r="BF34" s="38">
        <f t="shared" ref="BF34:BG36" si="30">BF26/BF$16</f>
        <v>296.20616408184742</v>
      </c>
      <c r="BG34" s="38">
        <f t="shared" si="30"/>
        <v>306.0824139563411</v>
      </c>
      <c r="BH34" s="38">
        <f t="shared" ref="BH34:BI36" si="31">BH26/BH$16</f>
        <v>292.09696361861432</v>
      </c>
      <c r="BI34" s="38">
        <f t="shared" si="31"/>
        <v>295.67356919567584</v>
      </c>
      <c r="BJ34" s="38">
        <f t="shared" ref="BJ34:BK36" si="32">BJ26/BJ$16</f>
        <v>299.20369357162502</v>
      </c>
      <c r="BK34" s="38">
        <f t="shared" si="32"/>
        <v>300.74958619363485</v>
      </c>
      <c r="BL34" s="38">
        <f>BL26/BL$16</f>
        <v>376.20882858277866</v>
      </c>
      <c r="BN34" s="38">
        <f t="shared" ref="BN34:BP36" si="33">BN26/BN$16</f>
        <v>289.99555308875239</v>
      </c>
      <c r="BO34" s="38">
        <f t="shared" si="33"/>
        <v>293.76594438032583</v>
      </c>
      <c r="BP34" s="38">
        <f t="shared" si="33"/>
        <v>301.57255405461797</v>
      </c>
      <c r="BQ34" s="38">
        <f t="shared" ref="BQ34:BR36" si="34">BQ26/BQ$16</f>
        <v>304.45064378915868</v>
      </c>
      <c r="BR34" s="38">
        <f t="shared" si="34"/>
        <v>293.62206446527159</v>
      </c>
      <c r="BS34" s="38">
        <f t="shared" ref="BS34:BT36" si="35">BS26/BS$16</f>
        <v>314.73928116247777</v>
      </c>
      <c r="BT34" s="38">
        <f t="shared" si="35"/>
        <v>325.72419558282269</v>
      </c>
      <c r="BU34" s="38">
        <f t="shared" ref="BU34:BV36" si="36">BU26/BU$16</f>
        <v>308.94575642800396</v>
      </c>
      <c r="BV34" s="38">
        <f t="shared" si="36"/>
        <v>306.56828668669976</v>
      </c>
      <c r="BW34" s="38">
        <f t="shared" ref="BW34:BX36" si="37">BW26/BW$16</f>
        <v>299.94276405031007</v>
      </c>
      <c r="BX34" s="38">
        <f t="shared" si="37"/>
        <v>298.50834276804915</v>
      </c>
      <c r="BY34" s="38">
        <f>BY26/BY$16</f>
        <v>380.36563921874392</v>
      </c>
      <c r="CA34" s="38">
        <f t="shared" ref="CA34:CB36" si="38">CA26/CA$16</f>
        <v>360.57133601451102</v>
      </c>
      <c r="CB34" s="38">
        <f t="shared" si="38"/>
        <v>359.59493139412433</v>
      </c>
      <c r="CC34" s="38">
        <f t="shared" ref="CC34:CD36" si="39">CC26/CC$16</f>
        <v>368.45265336087488</v>
      </c>
      <c r="CD34" s="38">
        <f t="shared" si="39"/>
        <v>368.69122700875215</v>
      </c>
      <c r="CE34" s="38">
        <f t="shared" ref="CE34:CF36" si="40">CE26/CE$16</f>
        <v>365.51237549383291</v>
      </c>
      <c r="CF34" s="38">
        <f t="shared" si="40"/>
        <v>349.95308516198878</v>
      </c>
      <c r="CG34" s="38">
        <f t="shared" ref="CG34:CH36" si="41">CG26/CG$16</f>
        <v>376.98459784957652</v>
      </c>
      <c r="CH34" s="38">
        <f t="shared" si="41"/>
        <v>360.84338823759759</v>
      </c>
      <c r="CI34" s="38">
        <f t="shared" ref="CI34:CJ36" si="42">CI26/CI$16</f>
        <v>361.34820639539703</v>
      </c>
      <c r="CJ34" s="38">
        <f t="shared" si="42"/>
        <v>368.99482653207787</v>
      </c>
      <c r="CK34" s="38">
        <f t="shared" ref="CK34:CL36" si="43">CK26/CK$16</f>
        <v>368.62404326349395</v>
      </c>
      <c r="CL34" s="38">
        <f t="shared" si="43"/>
        <v>447.43010079489648</v>
      </c>
      <c r="CN34" s="38">
        <f t="shared" ref="CN34:CO36" si="44">CN26/CN$16</f>
        <v>358.26178988996224</v>
      </c>
      <c r="CO34" s="38">
        <f t="shared" si="44"/>
        <v>360.93543815062799</v>
      </c>
      <c r="CP34" s="38">
        <f t="shared" ref="CP34:CQ36" si="45">CP26/CP$16</f>
        <v>356.85173682450193</v>
      </c>
      <c r="CQ34" s="38">
        <f t="shared" si="45"/>
        <v>370.59710934838677</v>
      </c>
      <c r="CR34" s="38">
        <f t="shared" ref="CR34:CS36" si="46">CR26/CR$16</f>
        <v>363.98782416950286</v>
      </c>
      <c r="CS34" s="38">
        <f t="shared" si="46"/>
        <v>377.58721639424255</v>
      </c>
      <c r="CT34" s="38">
        <f t="shared" ref="CT34:CU36" si="47">CT26/CT$16</f>
        <v>401.61073825503354</v>
      </c>
      <c r="CU34" s="38">
        <f t="shared" si="47"/>
        <v>390.08960220559277</v>
      </c>
      <c r="CV34" s="38">
        <f t="shared" ref="CV34:DD36" si="48">CV26/CV$16</f>
        <v>391.48510942781712</v>
      </c>
      <c r="CW34" s="38">
        <f t="shared" si="48"/>
        <v>393.83255561316446</v>
      </c>
      <c r="CX34" s="38">
        <f t="shared" si="48"/>
        <v>396.00901190859349</v>
      </c>
      <c r="CY34" s="38">
        <f t="shared" si="48"/>
        <v>480.89931959372842</v>
      </c>
      <c r="CZ34" s="38"/>
      <c r="DA34" s="38">
        <f t="shared" si="48"/>
        <v>382.10286442380732</v>
      </c>
      <c r="DB34" s="38">
        <f t="shared" si="48"/>
        <v>380.52523296623502</v>
      </c>
      <c r="DC34" s="38">
        <f t="shared" si="48"/>
        <v>389.90104280080328</v>
      </c>
      <c r="DD34" s="38">
        <f t="shared" si="48"/>
        <v>390.80248555332577</v>
      </c>
      <c r="DE34" s="38">
        <f t="shared" ref="DE34:DI36" si="49">DE26/DE$16</f>
        <v>394.75416182733261</v>
      </c>
      <c r="DF34" s="38">
        <f t="shared" si="49"/>
        <v>409.39157336476137</v>
      </c>
      <c r="DG34" s="38">
        <f t="shared" si="49"/>
        <v>443.06544173788825</v>
      </c>
      <c r="DH34" s="38">
        <f t="shared" si="49"/>
        <v>415.75274177467594</v>
      </c>
      <c r="DI34" s="38">
        <f t="shared" si="49"/>
        <v>422.83366045142293</v>
      </c>
      <c r="DJ34" s="38">
        <f t="shared" ref="DJ34:DP34" si="50">DJ26/DJ$16</f>
        <v>424.62189369255458</v>
      </c>
      <c r="DK34" s="38">
        <f t="shared" si="50"/>
        <v>404.08125619682261</v>
      </c>
      <c r="DL34" s="38">
        <f t="shared" si="50"/>
        <v>454.73608859506913</v>
      </c>
      <c r="DM34" s="38"/>
      <c r="DN34" s="263">
        <f t="shared" si="50"/>
        <v>363.3364097831103</v>
      </c>
      <c r="DO34" s="263">
        <f t="shared" si="50"/>
        <v>362.51148801069428</v>
      </c>
      <c r="DP34" s="263">
        <f t="shared" si="50"/>
        <v>381.80853547250695</v>
      </c>
      <c r="DQ34" s="263">
        <f t="shared" ref="DQ34:DX34" si="51">DQ26/DQ$16</f>
        <v>381.86264220645648</v>
      </c>
      <c r="DR34" s="263">
        <f t="shared" si="51"/>
        <v>375.46495590755211</v>
      </c>
      <c r="DS34" s="263">
        <f t="shared" si="51"/>
        <v>383.0211838401795</v>
      </c>
      <c r="DT34" s="263">
        <f t="shared" si="51"/>
        <v>411.37176190177507</v>
      </c>
      <c r="DU34" s="263">
        <f t="shared" si="51"/>
        <v>379.60726640014917</v>
      </c>
      <c r="DV34" s="263">
        <f t="shared" si="51"/>
        <v>386.55717633151085</v>
      </c>
      <c r="DW34" s="263">
        <f t="shared" si="51"/>
        <v>383.66893692626593</v>
      </c>
      <c r="DX34" s="263">
        <f t="shared" si="51"/>
        <v>373.04736853006358</v>
      </c>
      <c r="DY34" s="263">
        <f>DY26/DY$16</f>
        <v>460.60568475452197</v>
      </c>
      <c r="DZ34" s="263"/>
      <c r="EA34" s="263">
        <f t="shared" ref="EA34:EB36" si="52">EA26/EA$16</f>
        <v>363.25115089514065</v>
      </c>
      <c r="EB34" s="263">
        <f t="shared" si="52"/>
        <v>369.22497659461879</v>
      </c>
      <c r="EC34" s="263">
        <f t="shared" ref="EC34:EL34" si="53">EC26/EC$16</f>
        <v>385.77549449863767</v>
      </c>
      <c r="ED34" s="263">
        <f t="shared" si="53"/>
        <v>391.21831971751527</v>
      </c>
      <c r="EE34" s="263">
        <f t="shared" si="53"/>
        <v>385.92608103863466</v>
      </c>
      <c r="EF34" s="263">
        <f t="shared" si="53"/>
        <v>384.30183771083324</v>
      </c>
      <c r="EG34" s="263">
        <f t="shared" si="53"/>
        <v>416.91134774116313</v>
      </c>
      <c r="EH34" s="263">
        <f t="shared" si="53"/>
        <v>389.31016324381255</v>
      </c>
      <c r="EI34" s="263">
        <f t="shared" si="53"/>
        <v>395.0575390970788</v>
      </c>
      <c r="EJ34" s="263">
        <f t="shared" si="53"/>
        <v>381.94637370038305</v>
      </c>
      <c r="EK34" s="263">
        <f t="shared" si="53"/>
        <v>376.86588921282799</v>
      </c>
      <c r="EL34" s="263">
        <f t="shared" si="53"/>
        <v>484.00008265487457</v>
      </c>
      <c r="EN34" s="263">
        <f t="shared" ref="EN34:EP36" si="54">EN26/EN$16</f>
        <v>370.71736896197331</v>
      </c>
      <c r="EO34" s="263">
        <f t="shared" si="54"/>
        <v>375.87907684087219</v>
      </c>
      <c r="EP34" s="263">
        <f t="shared" si="54"/>
        <v>396.8579997931534</v>
      </c>
      <c r="EQ34" s="263">
        <f t="shared" ref="EQ34:ES34" si="55">EQ26/EQ$16</f>
        <v>390.25336304365766</v>
      </c>
      <c r="ER34" s="263">
        <f t="shared" si="55"/>
        <v>391.71161825726142</v>
      </c>
      <c r="ES34" s="263">
        <f t="shared" si="55"/>
        <v>400.92201386142733</v>
      </c>
      <c r="ET34" s="263"/>
      <c r="EU34" s="263"/>
      <c r="EV34" s="263"/>
      <c r="EW34" s="263"/>
      <c r="EX34" s="263"/>
      <c r="EY34" s="263"/>
    </row>
    <row r="35" spans="1:155" ht="12.75" customHeight="1">
      <c r="A35" s="96" t="s">
        <v>45</v>
      </c>
      <c r="B35" s="95"/>
      <c r="C35" s="95"/>
      <c r="D35" s="95"/>
      <c r="E35" s="95"/>
      <c r="F35" s="95"/>
      <c r="G35" s="95"/>
      <c r="H35" s="95"/>
      <c r="I35" s="95"/>
      <c r="J35" s="95"/>
      <c r="K35" s="95"/>
      <c r="L35" s="95"/>
      <c r="M35" s="95"/>
      <c r="N35" s="38">
        <f t="shared" ref="N35:W35" si="56">N27/N$16</f>
        <v>160.26993182134407</v>
      </c>
      <c r="O35" s="38">
        <f t="shared" si="56"/>
        <v>170.30626961907186</v>
      </c>
      <c r="P35" s="38">
        <f t="shared" si="56"/>
        <v>166.38499986192804</v>
      </c>
      <c r="Q35" s="38">
        <f t="shared" si="56"/>
        <v>166.94960360814633</v>
      </c>
      <c r="R35" s="38">
        <f t="shared" si="56"/>
        <v>173.57346135050449</v>
      </c>
      <c r="S35" s="38">
        <f t="shared" si="56"/>
        <v>181.8947059686171</v>
      </c>
      <c r="T35" s="38">
        <f t="shared" si="56"/>
        <v>192.70122783083218</v>
      </c>
      <c r="U35" s="38">
        <f t="shared" si="56"/>
        <v>178.12969078354848</v>
      </c>
      <c r="V35" s="38">
        <f t="shared" si="56"/>
        <v>185.68748324845885</v>
      </c>
      <c r="W35" s="38">
        <f t="shared" si="56"/>
        <v>202.29167307514842</v>
      </c>
      <c r="X35" s="38">
        <f>X27/X$16</f>
        <v>215.31130252513674</v>
      </c>
      <c r="Y35" s="38">
        <f>Y27/Y$16</f>
        <v>291.50285977253299</v>
      </c>
      <c r="AA35" s="38">
        <f t="shared" ref="AA35:AC36" si="57">AA27/AA$16</f>
        <v>223.74853343762223</v>
      </c>
      <c r="AB35" s="38">
        <f t="shared" si="57"/>
        <v>228.30967155063189</v>
      </c>
      <c r="AC35" s="38">
        <f t="shared" si="57"/>
        <v>226.0406834825061</v>
      </c>
      <c r="AD35" s="38">
        <f t="shared" ref="AD35:AF36" si="58">AD27/AD$16</f>
        <v>226.91806270777656</v>
      </c>
      <c r="AE35" s="38">
        <f t="shared" si="58"/>
        <v>226.36488609583662</v>
      </c>
      <c r="AF35" s="38">
        <f t="shared" si="58"/>
        <v>236.33570130513797</v>
      </c>
      <c r="AG35" s="38">
        <f t="shared" ref="AG35:AI36" si="59">AG27/AG$16</f>
        <v>257.30139216533206</v>
      </c>
      <c r="AH35" s="38">
        <f t="shared" si="59"/>
        <v>225.16730953087398</v>
      </c>
      <c r="AI35" s="38">
        <f t="shared" si="59"/>
        <v>241.72514232755196</v>
      </c>
      <c r="AJ35" s="38">
        <f t="shared" ref="AJ35:AL36" si="60">AJ27/AJ$16</f>
        <v>239.12815470337591</v>
      </c>
      <c r="AK35" s="38">
        <f t="shared" si="60"/>
        <v>242.31549996725818</v>
      </c>
      <c r="AL35" s="38">
        <f t="shared" si="60"/>
        <v>322.75943011769306</v>
      </c>
      <c r="AM35" s="87"/>
      <c r="AN35" s="38">
        <f>AN27/AN$16</f>
        <v>252.32462894400578</v>
      </c>
      <c r="AO35" s="38">
        <f t="shared" si="23"/>
        <v>271.41222247653928</v>
      </c>
      <c r="AP35" s="38">
        <f t="shared" si="23"/>
        <v>222.34820675965958</v>
      </c>
      <c r="AQ35" s="38">
        <f t="shared" si="24"/>
        <v>218.99164195200865</v>
      </c>
      <c r="AR35" s="38">
        <f t="shared" si="24"/>
        <v>220.21173166252566</v>
      </c>
      <c r="AS35" s="38">
        <f t="shared" si="25"/>
        <v>232.35294117647058</v>
      </c>
      <c r="AT35" s="38">
        <f t="shared" si="25"/>
        <v>238.77517956472431</v>
      </c>
      <c r="AU35" s="38">
        <f t="shared" si="26"/>
        <v>214.02544746458963</v>
      </c>
      <c r="AV35" s="38">
        <f t="shared" si="26"/>
        <v>212.20882020808918</v>
      </c>
      <c r="AW35" s="38">
        <f t="shared" si="27"/>
        <v>215.76468152289257</v>
      </c>
      <c r="AX35" s="38">
        <f t="shared" si="27"/>
        <v>221.25213312887419</v>
      </c>
      <c r="AY35" s="38">
        <f>AY27/AY$16</f>
        <v>294.21524782344068</v>
      </c>
      <c r="AZ35" s="38"/>
      <c r="BA35" s="38">
        <f t="shared" si="28"/>
        <v>215.33356340757652</v>
      </c>
      <c r="BB35" s="38">
        <f t="shared" si="28"/>
        <v>222.83387714182004</v>
      </c>
      <c r="BC35" s="38">
        <f t="shared" si="28"/>
        <v>210.40699126092383</v>
      </c>
      <c r="BD35" s="38">
        <f t="shared" si="29"/>
        <v>220.34658278283189</v>
      </c>
      <c r="BE35" s="38">
        <f t="shared" si="29"/>
        <v>223.3940482208572</v>
      </c>
      <c r="BF35" s="38">
        <f t="shared" si="30"/>
        <v>234.04575388593977</v>
      </c>
      <c r="BG35" s="38">
        <f t="shared" si="30"/>
        <v>250.09877878937505</v>
      </c>
      <c r="BH35" s="38">
        <f t="shared" si="31"/>
        <v>229.23772351493699</v>
      </c>
      <c r="BI35" s="38">
        <f t="shared" si="31"/>
        <v>234.97290441111363</v>
      </c>
      <c r="BJ35" s="38">
        <f t="shared" si="32"/>
        <v>241.01449626614303</v>
      </c>
      <c r="BK35" s="38">
        <f t="shared" si="32"/>
        <v>242.20884313841438</v>
      </c>
      <c r="BL35" s="38">
        <f>BL27/BL$16</f>
        <v>305.99899249133671</v>
      </c>
      <c r="BN35" s="38">
        <f t="shared" si="33"/>
        <v>232.41405501978701</v>
      </c>
      <c r="BO35" s="38">
        <f t="shared" si="33"/>
        <v>243.72431133527562</v>
      </c>
      <c r="BP35" s="38">
        <f t="shared" si="33"/>
        <v>240.53849981293212</v>
      </c>
      <c r="BQ35" s="38">
        <f t="shared" si="34"/>
        <v>242.2668766176393</v>
      </c>
      <c r="BR35" s="38">
        <f t="shared" si="34"/>
        <v>235.44810005159118</v>
      </c>
      <c r="BS35" s="38">
        <f t="shared" si="35"/>
        <v>249.07009697354189</v>
      </c>
      <c r="BT35" s="38">
        <f t="shared" si="35"/>
        <v>268.8603635079769</v>
      </c>
      <c r="BU35" s="38">
        <f t="shared" si="36"/>
        <v>247.89608993903852</v>
      </c>
      <c r="BV35" s="38">
        <f t="shared" si="36"/>
        <v>250.38022747939254</v>
      </c>
      <c r="BW35" s="38">
        <f t="shared" si="37"/>
        <v>240.69500579873377</v>
      </c>
      <c r="BX35" s="38">
        <f t="shared" si="37"/>
        <v>243.57048695146892</v>
      </c>
      <c r="BY35" s="38">
        <f>BY27/BY$16</f>
        <v>316.18290689819258</v>
      </c>
      <c r="CA35" s="38">
        <f t="shared" si="38"/>
        <v>316.31912904273634</v>
      </c>
      <c r="CB35" s="38">
        <f t="shared" si="38"/>
        <v>319.7699850245362</v>
      </c>
      <c r="CC35" s="38">
        <f t="shared" si="39"/>
        <v>318.60903436043998</v>
      </c>
      <c r="CD35" s="38">
        <f t="shared" si="39"/>
        <v>324.19889012146297</v>
      </c>
      <c r="CE35" s="38">
        <f t="shared" si="40"/>
        <v>315.57119287571896</v>
      </c>
      <c r="CF35" s="38">
        <f t="shared" si="40"/>
        <v>308.37966436842396</v>
      </c>
      <c r="CG35" s="38">
        <f t="shared" si="41"/>
        <v>340.84601003557225</v>
      </c>
      <c r="CH35" s="38">
        <f t="shared" si="41"/>
        <v>314.57451234734089</v>
      </c>
      <c r="CI35" s="38">
        <f t="shared" si="42"/>
        <v>319.47998174261357</v>
      </c>
      <c r="CJ35" s="38">
        <f t="shared" si="42"/>
        <v>329.24060664188931</v>
      </c>
      <c r="CK35" s="38">
        <f t="shared" si="43"/>
        <v>330.30080126326737</v>
      </c>
      <c r="CL35" s="38">
        <f t="shared" si="43"/>
        <v>395.72845448981542</v>
      </c>
      <c r="CN35" s="38">
        <f t="shared" si="44"/>
        <v>315.1251846823551</v>
      </c>
      <c r="CO35" s="38">
        <f t="shared" si="44"/>
        <v>320.02590293729531</v>
      </c>
      <c r="CP35" s="38">
        <f t="shared" si="45"/>
        <v>312.11237995126379</v>
      </c>
      <c r="CQ35" s="38">
        <f t="shared" si="45"/>
        <v>323.11061365516571</v>
      </c>
      <c r="CR35" s="38">
        <f t="shared" si="46"/>
        <v>322.0818752696419</v>
      </c>
      <c r="CS35" s="38">
        <f t="shared" si="46"/>
        <v>327.85801414979267</v>
      </c>
      <c r="CT35" s="38">
        <f t="shared" si="47"/>
        <v>357.96705308114701</v>
      </c>
      <c r="CU35" s="38">
        <f t="shared" si="47"/>
        <v>339.75728633320205</v>
      </c>
      <c r="CV35" s="38">
        <f t="shared" si="48"/>
        <v>344.29420908485281</v>
      </c>
      <c r="CW35" s="38">
        <f t="shared" si="48"/>
        <v>348.87786089919268</v>
      </c>
      <c r="CX35" s="38">
        <f t="shared" si="48"/>
        <v>351.10049268401372</v>
      </c>
      <c r="CY35" s="38">
        <f>CY27/CY$16</f>
        <v>417.01262202938568</v>
      </c>
      <c r="DA35" s="38">
        <f t="shared" ref="DA35:DD36" si="61">DA27/DA$16</f>
        <v>333.34395138565583</v>
      </c>
      <c r="DB35" s="38">
        <f t="shared" si="61"/>
        <v>332.16991407479128</v>
      </c>
      <c r="DC35" s="38">
        <f t="shared" si="61"/>
        <v>337.42227383803925</v>
      </c>
      <c r="DD35" s="38">
        <f t="shared" si="61"/>
        <v>336.14449092096038</v>
      </c>
      <c r="DE35" s="38">
        <f t="shared" si="49"/>
        <v>338.01780874951606</v>
      </c>
      <c r="DF35" s="38">
        <f t="shared" si="49"/>
        <v>350.4174032606561</v>
      </c>
      <c r="DG35" s="38">
        <f t="shared" si="49"/>
        <v>400.07388980566981</v>
      </c>
      <c r="DH35" s="38">
        <f t="shared" si="49"/>
        <v>371.77491914500399</v>
      </c>
      <c r="DI35" s="38">
        <f t="shared" si="49"/>
        <v>375.20117762512263</v>
      </c>
      <c r="DJ35" s="38">
        <f t="shared" ref="DJ35:DL36" si="62">DJ27/DJ$16</f>
        <v>385.27695375188443</v>
      </c>
      <c r="DK35" s="38">
        <f t="shared" si="62"/>
        <v>367.05711452881093</v>
      </c>
      <c r="DL35" s="38">
        <f t="shared" si="62"/>
        <v>418.26641682632584</v>
      </c>
      <c r="DM35" s="38"/>
      <c r="DN35" s="263">
        <f t="shared" ref="DN35:DP36" si="63">DN27/DN$16</f>
        <v>325.33875907203088</v>
      </c>
      <c r="DO35" s="263">
        <f t="shared" si="63"/>
        <v>325.3864149051717</v>
      </c>
      <c r="DP35" s="263">
        <f t="shared" si="63"/>
        <v>333.31635576494557</v>
      </c>
      <c r="DQ35" s="263">
        <f t="shared" ref="DQ35:DX35" si="64">DQ27/DQ$16</f>
        <v>339.55333529238908</v>
      </c>
      <c r="DR35" s="263">
        <f t="shared" si="64"/>
        <v>333.23651105445731</v>
      </c>
      <c r="DS35" s="263">
        <f t="shared" si="64"/>
        <v>338.37428311429966</v>
      </c>
      <c r="DT35" s="263">
        <f t="shared" si="64"/>
        <v>380.57036525957056</v>
      </c>
      <c r="DU35" s="263">
        <f t="shared" si="64"/>
        <v>336.39207075833212</v>
      </c>
      <c r="DV35" s="263">
        <f t="shared" si="64"/>
        <v>343.74617381942539</v>
      </c>
      <c r="DW35" s="263">
        <f t="shared" si="64"/>
        <v>338.7918270654427</v>
      </c>
      <c r="DX35" s="263">
        <f t="shared" si="64"/>
        <v>329.51471593380421</v>
      </c>
      <c r="DY35" s="263">
        <f>DY27/DY$16</f>
        <v>422.65219638242894</v>
      </c>
      <c r="DZ35" s="263"/>
      <c r="EA35" s="263">
        <f t="shared" si="52"/>
        <v>316.14936061381076</v>
      </c>
      <c r="EB35" s="263">
        <f t="shared" si="52"/>
        <v>324.26222167948879</v>
      </c>
      <c r="EC35" s="263">
        <f t="shared" ref="EC35:EL35" si="65">EC27/EC$16</f>
        <v>327.18442563281263</v>
      </c>
      <c r="ED35" s="263">
        <f t="shared" si="65"/>
        <v>331.24255657006745</v>
      </c>
      <c r="EE35" s="263">
        <f t="shared" si="65"/>
        <v>327.36676787770915</v>
      </c>
      <c r="EF35" s="263">
        <f t="shared" si="65"/>
        <v>332.10749349668538</v>
      </c>
      <c r="EG35" s="263">
        <f t="shared" si="65"/>
        <v>377.61955768382586</v>
      </c>
      <c r="EH35" s="263">
        <f t="shared" si="65"/>
        <v>339.17008952080045</v>
      </c>
      <c r="EI35" s="263">
        <f t="shared" si="65"/>
        <v>330.86245415841171</v>
      </c>
      <c r="EJ35" s="263">
        <f t="shared" si="65"/>
        <v>327.85705265816392</v>
      </c>
      <c r="EK35" s="263">
        <f t="shared" si="65"/>
        <v>322.6009995835069</v>
      </c>
      <c r="EL35" s="263">
        <f t="shared" si="65"/>
        <v>422.70116130098774</v>
      </c>
      <c r="EN35" s="263">
        <f>EN27/EN$16</f>
        <v>311.47790339157245</v>
      </c>
      <c r="EO35" s="263">
        <f>EO27/EO$16</f>
        <v>322.15828520931382</v>
      </c>
      <c r="EP35" s="263">
        <f t="shared" si="54"/>
        <v>328.40831523425379</v>
      </c>
      <c r="EQ35" s="263">
        <f t="shared" ref="EQ35:ES35" si="66">EQ27/EQ$16</f>
        <v>325.96352232400761</v>
      </c>
      <c r="ER35" s="263">
        <f t="shared" si="66"/>
        <v>324.11618257261409</v>
      </c>
      <c r="ES35" s="263">
        <f t="shared" si="66"/>
        <v>335.1947051845068</v>
      </c>
      <c r="ET35" s="263"/>
      <c r="EU35" s="263"/>
      <c r="EV35" s="263"/>
      <c r="EW35" s="263"/>
      <c r="EX35" s="263"/>
      <c r="EY35" s="263"/>
    </row>
    <row r="36" spans="1:155" ht="12.75" customHeight="1">
      <c r="A36" s="95" t="s">
        <v>46</v>
      </c>
      <c r="B36" s="95"/>
      <c r="C36" s="95"/>
      <c r="D36" s="95"/>
      <c r="E36" s="95"/>
      <c r="F36" s="95"/>
      <c r="G36" s="95"/>
      <c r="H36" s="95"/>
      <c r="I36" s="95"/>
      <c r="J36" s="95"/>
      <c r="K36" s="95"/>
      <c r="L36" s="95"/>
      <c r="M36" s="95"/>
      <c r="N36" s="38">
        <f t="shared" ref="N36:X36" si="67">N28/N$16</f>
        <v>236.29887296507582</v>
      </c>
      <c r="O36" s="38">
        <f t="shared" si="67"/>
        <v>245.56997822459772</v>
      </c>
      <c r="P36" s="38">
        <f t="shared" si="67"/>
        <v>257.97365586943914</v>
      </c>
      <c r="Q36" s="38">
        <f t="shared" si="67"/>
        <v>267.84323612628509</v>
      </c>
      <c r="R36" s="38">
        <f t="shared" si="67"/>
        <v>271.70494725040965</v>
      </c>
      <c r="S36" s="38">
        <f t="shared" si="67"/>
        <v>290.15691450359293</v>
      </c>
      <c r="T36" s="38">
        <f t="shared" si="67"/>
        <v>311.2640132866718</v>
      </c>
      <c r="U36" s="38">
        <f t="shared" si="67"/>
        <v>310.02701891323926</v>
      </c>
      <c r="V36" s="38">
        <f t="shared" si="67"/>
        <v>308.06456416212512</v>
      </c>
      <c r="W36" s="38">
        <f t="shared" si="67"/>
        <v>322.35688578547484</v>
      </c>
      <c r="X36" s="38">
        <f t="shared" si="67"/>
        <v>342.12163888252059</v>
      </c>
      <c r="Y36" s="38">
        <f>Y28/Y$16</f>
        <v>431.12878837683252</v>
      </c>
      <c r="AA36" s="38">
        <f t="shared" si="57"/>
        <v>344.1924129839656</v>
      </c>
      <c r="AB36" s="38">
        <f t="shared" si="57"/>
        <v>345.97641402163674</v>
      </c>
      <c r="AC36" s="38">
        <f t="shared" si="57"/>
        <v>379.40113913751014</v>
      </c>
      <c r="AD36" s="38">
        <f t="shared" si="58"/>
        <v>394.64832800990808</v>
      </c>
      <c r="AE36" s="38">
        <f t="shared" si="58"/>
        <v>381.19272060748887</v>
      </c>
      <c r="AF36" s="38">
        <f t="shared" si="58"/>
        <v>405.43201718156291</v>
      </c>
      <c r="AG36" s="38">
        <f t="shared" si="59"/>
        <v>417.26750174435989</v>
      </c>
      <c r="AH36" s="38">
        <f t="shared" si="59"/>
        <v>398.66811723205751</v>
      </c>
      <c r="AI36" s="38">
        <f t="shared" si="59"/>
        <v>398.55686482192505</v>
      </c>
      <c r="AJ36" s="38">
        <f t="shared" si="60"/>
        <v>408.29564077351682</v>
      </c>
      <c r="AK36" s="38">
        <f t="shared" si="60"/>
        <v>399.59727588239144</v>
      </c>
      <c r="AL36" s="38">
        <f t="shared" si="60"/>
        <v>495.32813875395294</v>
      </c>
      <c r="AM36" s="87"/>
      <c r="AN36" s="38">
        <f>AN28/AN$16</f>
        <v>387.15966056158055</v>
      </c>
      <c r="AO36" s="38">
        <f t="shared" si="23"/>
        <v>394.6081156197888</v>
      </c>
      <c r="AP36" s="38">
        <f t="shared" si="23"/>
        <v>327.57429915436279</v>
      </c>
      <c r="AQ36" s="38">
        <f t="shared" si="24"/>
        <v>339.711512537072</v>
      </c>
      <c r="AR36" s="38">
        <f t="shared" si="24"/>
        <v>333.42065463973211</v>
      </c>
      <c r="AS36" s="38">
        <f t="shared" si="25"/>
        <v>343.56218408043105</v>
      </c>
      <c r="AT36" s="38">
        <f t="shared" si="25"/>
        <v>361.5461467840363</v>
      </c>
      <c r="AU36" s="38">
        <f t="shared" si="26"/>
        <v>334.45010536424019</v>
      </c>
      <c r="AV36" s="38">
        <f t="shared" si="26"/>
        <v>334.14945697131589</v>
      </c>
      <c r="AW36" s="38">
        <f t="shared" si="27"/>
        <v>337.4459714781168</v>
      </c>
      <c r="AX36" s="38">
        <f t="shared" si="27"/>
        <v>336.89428496108366</v>
      </c>
      <c r="AY36" s="38">
        <f>AY28/AY$16</f>
        <v>424.71354097753317</v>
      </c>
      <c r="AZ36" s="38"/>
      <c r="BA36" s="38">
        <f t="shared" si="28"/>
        <v>336.69330218482042</v>
      </c>
      <c r="BB36" s="38">
        <f t="shared" si="28"/>
        <v>330.94127299290625</v>
      </c>
      <c r="BC36" s="38">
        <f t="shared" si="28"/>
        <v>343.8676654182272</v>
      </c>
      <c r="BD36" s="38">
        <f t="shared" si="29"/>
        <v>346.98461069626308</v>
      </c>
      <c r="BE36" s="38">
        <f t="shared" si="29"/>
        <v>343.48061686978934</v>
      </c>
      <c r="BF36" s="38">
        <f t="shared" si="30"/>
        <v>372.04001418470813</v>
      </c>
      <c r="BG36" s="38">
        <f t="shared" si="30"/>
        <v>373.35841002655087</v>
      </c>
      <c r="BH36" s="38">
        <f t="shared" si="31"/>
        <v>366.69544251007488</v>
      </c>
      <c r="BI36" s="38">
        <f t="shared" si="31"/>
        <v>367.62760362340919</v>
      </c>
      <c r="BJ36" s="38">
        <f t="shared" si="32"/>
        <v>367.71362885630333</v>
      </c>
      <c r="BK36" s="38">
        <f t="shared" si="32"/>
        <v>370.03208214914014</v>
      </c>
      <c r="BL36" s="38">
        <f>BL28/BL$16</f>
        <v>460.18438203776191</v>
      </c>
      <c r="BN36" s="38">
        <f t="shared" si="33"/>
        <v>360.4222181431067</v>
      </c>
      <c r="BO36" s="38">
        <f t="shared" si="33"/>
        <v>354.40712698354764</v>
      </c>
      <c r="BP36" s="38">
        <f t="shared" si="33"/>
        <v>374.84696177073664</v>
      </c>
      <c r="BQ36" s="38">
        <f t="shared" si="34"/>
        <v>379.38174564252694</v>
      </c>
      <c r="BR36" s="38">
        <f t="shared" si="34"/>
        <v>362.0087856225918</v>
      </c>
      <c r="BS36" s="38">
        <f t="shared" si="35"/>
        <v>391.342033440997</v>
      </c>
      <c r="BT36" s="38">
        <f t="shared" si="35"/>
        <v>390.95982314868178</v>
      </c>
      <c r="BU36" s="38">
        <f t="shared" si="36"/>
        <v>378.12213773503345</v>
      </c>
      <c r="BV36" s="38">
        <f t="shared" si="36"/>
        <v>371.27392348922132</v>
      </c>
      <c r="BW36" s="38">
        <f t="shared" si="37"/>
        <v>369.19862517417357</v>
      </c>
      <c r="BX36" s="38">
        <f t="shared" si="37"/>
        <v>362.76009681031513</v>
      </c>
      <c r="BY36" s="38">
        <f>BY28/BY$16</f>
        <v>456.15881007175688</v>
      </c>
      <c r="CA36" s="38">
        <f t="shared" si="38"/>
        <v>420.20594828406331</v>
      </c>
      <c r="CB36" s="38">
        <f t="shared" si="38"/>
        <v>413.78896124262468</v>
      </c>
      <c r="CC36" s="38">
        <f t="shared" si="39"/>
        <v>436.55084824812099</v>
      </c>
      <c r="CD36" s="38">
        <f t="shared" si="39"/>
        <v>428.79464175161127</v>
      </c>
      <c r="CE36" s="38">
        <f t="shared" si="40"/>
        <v>433.63773840886461</v>
      </c>
      <c r="CF36" s="38">
        <f t="shared" si="40"/>
        <v>405.76309400610626</v>
      </c>
      <c r="CG36" s="38">
        <f t="shared" si="41"/>
        <v>428.53790034351209</v>
      </c>
      <c r="CH36" s="38">
        <f t="shared" si="41"/>
        <v>422.02207591962605</v>
      </c>
      <c r="CI36" s="38">
        <f t="shared" si="42"/>
        <v>416.91978848495194</v>
      </c>
      <c r="CJ36" s="38">
        <f t="shared" si="42"/>
        <v>422.99683650264484</v>
      </c>
      <c r="CK36" s="38">
        <f t="shared" si="43"/>
        <v>420.98326825086332</v>
      </c>
      <c r="CL36" s="38">
        <f t="shared" si="43"/>
        <v>521.5830371014315</v>
      </c>
      <c r="CN36" s="38">
        <f t="shared" si="44"/>
        <v>422.65806968965438</v>
      </c>
      <c r="CO36" s="38">
        <f t="shared" si="44"/>
        <v>421.12066858902301</v>
      </c>
      <c r="CP36" s="38">
        <f t="shared" si="45"/>
        <v>421.80467294185104</v>
      </c>
      <c r="CQ36" s="38">
        <f t="shared" si="45"/>
        <v>438.34736483527178</v>
      </c>
      <c r="CR36" s="38">
        <f t="shared" si="46"/>
        <v>423.34020420881069</v>
      </c>
      <c r="CS36" s="38">
        <f t="shared" si="46"/>
        <v>447.20175652598198</v>
      </c>
      <c r="CT36" s="38">
        <f t="shared" si="47"/>
        <v>462.15253203172665</v>
      </c>
      <c r="CU36" s="38">
        <f t="shared" si="47"/>
        <v>459.82424182749111</v>
      </c>
      <c r="CV36" s="38">
        <f t="shared" si="48"/>
        <v>457.06531125860494</v>
      </c>
      <c r="CW36" s="38">
        <f t="shared" si="48"/>
        <v>457.82040836481252</v>
      </c>
      <c r="CX36" s="38">
        <f t="shared" si="48"/>
        <v>460.46396474462131</v>
      </c>
      <c r="CY36" s="38">
        <f>CY28/CY$16</f>
        <v>572.93659402425794</v>
      </c>
      <c r="DA36" s="38">
        <f t="shared" si="61"/>
        <v>454.8479576584744</v>
      </c>
      <c r="DB36" s="38">
        <f t="shared" si="61"/>
        <v>451.28887813142927</v>
      </c>
      <c r="DC36" s="38">
        <f t="shared" si="61"/>
        <v>465.43272604098615</v>
      </c>
      <c r="DD36" s="38">
        <f t="shared" si="61"/>
        <v>468.13752750308277</v>
      </c>
      <c r="DE36" s="38">
        <f t="shared" si="49"/>
        <v>474.57413859852886</v>
      </c>
      <c r="DF36" s="38">
        <f t="shared" si="49"/>
        <v>491.44568846984879</v>
      </c>
      <c r="DG36" s="38">
        <f t="shared" si="49"/>
        <v>502.54180931504152</v>
      </c>
      <c r="DH36" s="38">
        <f t="shared" si="49"/>
        <v>476.02071833280644</v>
      </c>
      <c r="DI36" s="38">
        <f t="shared" si="49"/>
        <v>488.3684985279686</v>
      </c>
      <c r="DJ36" s="38">
        <f t="shared" si="62"/>
        <v>478.94032971842631</v>
      </c>
      <c r="DK36" s="38">
        <f t="shared" si="62"/>
        <v>455.61576241093871</v>
      </c>
      <c r="DL36" s="38">
        <f t="shared" si="62"/>
        <v>506.03406530938793</v>
      </c>
      <c r="DM36" s="38"/>
      <c r="DN36" s="263">
        <f t="shared" si="63"/>
        <v>417.99932877459412</v>
      </c>
      <c r="DO36" s="263">
        <f t="shared" si="63"/>
        <v>416.198095078954</v>
      </c>
      <c r="DP36" s="263">
        <f t="shared" si="63"/>
        <v>450.95817151588466</v>
      </c>
      <c r="DQ36" s="263">
        <f t="shared" ref="DQ36:DX36" si="68">DQ28/DQ$16</f>
        <v>441.79925276016957</v>
      </c>
      <c r="DR36" s="263">
        <f t="shared" si="68"/>
        <v>434.31479082208381</v>
      </c>
      <c r="DS36" s="263">
        <f t="shared" si="68"/>
        <v>444.78234186189241</v>
      </c>
      <c r="DT36" s="263">
        <f t="shared" si="68"/>
        <v>453.67873047732547</v>
      </c>
      <c r="DU36" s="263">
        <f t="shared" si="68"/>
        <v>438.29981150444314</v>
      </c>
      <c r="DV36" s="263">
        <f t="shared" si="68"/>
        <v>444.9895505689135</v>
      </c>
      <c r="DW36" s="263">
        <f t="shared" si="68"/>
        <v>444.88980075299298</v>
      </c>
      <c r="DX36" s="263">
        <f t="shared" si="68"/>
        <v>433.1269029224747</v>
      </c>
      <c r="DY36" s="263">
        <f>DY28/DY$16</f>
        <v>513.28578811369505</v>
      </c>
      <c r="DZ36" s="263"/>
      <c r="EA36" s="263">
        <f t="shared" si="52"/>
        <v>429.57340153452685</v>
      </c>
      <c r="EB36" s="263">
        <f t="shared" si="52"/>
        <v>432.09997150649247</v>
      </c>
      <c r="EC36" s="263">
        <f t="shared" ref="EC36:EL36" si="69">EC28/EC$16</f>
        <v>466.23681856943779</v>
      </c>
      <c r="ED36" s="263">
        <f t="shared" si="69"/>
        <v>472.15687093876016</v>
      </c>
      <c r="EE36" s="263">
        <f t="shared" si="69"/>
        <v>463.88650403099149</v>
      </c>
      <c r="EF36" s="263">
        <f t="shared" si="69"/>
        <v>453.07124276244019</v>
      </c>
      <c r="EG36" s="263">
        <f t="shared" si="69"/>
        <v>467.74410350114465</v>
      </c>
      <c r="EH36" s="263">
        <f t="shared" si="69"/>
        <v>452.02317008952082</v>
      </c>
      <c r="EI36" s="263">
        <f t="shared" si="69"/>
        <v>475.27083421152469</v>
      </c>
      <c r="EJ36" s="263">
        <f t="shared" si="69"/>
        <v>449.74954750178898</v>
      </c>
      <c r="EK36" s="263">
        <f t="shared" si="69"/>
        <v>444.62307371928364</v>
      </c>
      <c r="EL36" s="263">
        <f t="shared" si="69"/>
        <v>560.29259825598217</v>
      </c>
      <c r="EN36" s="263">
        <f>EN28/EN$16</f>
        <v>445.64028776978415</v>
      </c>
      <c r="EO36" s="263">
        <f>EO28/EO$16</f>
        <v>443.55001130315054</v>
      </c>
      <c r="EP36" s="263">
        <f t="shared" si="54"/>
        <v>482.12638328679287</v>
      </c>
      <c r="EQ36" s="263">
        <f t="shared" ref="EQ36:ES36" si="70">EQ28/EQ$16</f>
        <v>468.85161343566887</v>
      </c>
      <c r="ER36" s="263">
        <f t="shared" si="70"/>
        <v>473.1182572614108</v>
      </c>
      <c r="ES36" s="263">
        <f t="shared" si="70"/>
        <v>479.59497991549938</v>
      </c>
      <c r="ET36" s="263"/>
      <c r="EU36" s="263"/>
      <c r="EV36" s="263"/>
      <c r="EW36" s="263"/>
      <c r="EX36" s="263"/>
      <c r="EY36" s="263"/>
    </row>
    <row r="37" spans="1:155" ht="6" customHeight="1">
      <c r="A37" s="94"/>
      <c r="B37" s="94"/>
      <c r="C37" s="94"/>
      <c r="D37" s="94"/>
      <c r="E37" s="94"/>
      <c r="F37" s="94"/>
      <c r="G37" s="94"/>
      <c r="H37" s="94"/>
      <c r="I37" s="94"/>
      <c r="J37" s="94"/>
      <c r="K37" s="94"/>
      <c r="L37" s="94"/>
      <c r="M37" s="94"/>
      <c r="N37" s="87"/>
      <c r="O37" s="87"/>
      <c r="P37" s="87"/>
      <c r="Q37" s="87"/>
      <c r="R37" s="87"/>
      <c r="S37" s="87"/>
      <c r="T37" s="87"/>
      <c r="U37" s="87"/>
      <c r="V37" s="87"/>
      <c r="W37" s="87"/>
      <c r="X37" s="87"/>
      <c r="Y37" s="87"/>
      <c r="AA37" s="87"/>
      <c r="AB37" s="87"/>
      <c r="AC37" s="87"/>
      <c r="AD37" s="87"/>
      <c r="AE37" s="87"/>
      <c r="AF37" s="87"/>
      <c r="AG37" s="87"/>
      <c r="AH37" s="87"/>
      <c r="AI37" s="87"/>
      <c r="AJ37" s="87"/>
      <c r="AK37" s="87"/>
      <c r="AL37" s="87"/>
      <c r="AM37" s="87"/>
      <c r="AN37" s="87"/>
      <c r="AO37" s="87"/>
      <c r="AP37" s="87"/>
      <c r="AQ37" s="87"/>
      <c r="DN37" s="263"/>
      <c r="DO37" s="263"/>
      <c r="DP37" s="263"/>
      <c r="DQ37" s="263"/>
      <c r="DR37" s="263"/>
      <c r="DS37" s="263"/>
      <c r="DT37" s="263"/>
      <c r="DU37" s="263"/>
      <c r="DV37" s="263"/>
      <c r="DW37" s="263"/>
      <c r="DX37" s="263"/>
      <c r="DY37" s="263"/>
      <c r="DZ37" s="263"/>
      <c r="EA37" s="263"/>
      <c r="EB37" s="263"/>
      <c r="EC37" s="263"/>
      <c r="ED37" s="263"/>
      <c r="EE37" s="263"/>
      <c r="EF37" s="263"/>
      <c r="EG37" s="263"/>
      <c r="EH37" s="263"/>
      <c r="EI37" s="263"/>
      <c r="EJ37" s="263"/>
      <c r="EK37" s="263"/>
      <c r="EL37" s="263"/>
      <c r="EN37" s="263"/>
      <c r="EO37" s="263"/>
      <c r="EP37" s="263"/>
      <c r="EQ37" s="263"/>
      <c r="ER37" s="263"/>
      <c r="ES37" s="263"/>
      <c r="ET37" s="263"/>
      <c r="EU37" s="263"/>
      <c r="EV37" s="263"/>
      <c r="EW37" s="263"/>
      <c r="EX37" s="263"/>
      <c r="EY37" s="263"/>
    </row>
    <row r="38" spans="1:155" ht="13.5" customHeight="1">
      <c r="A38" s="247" t="s">
        <v>128</v>
      </c>
      <c r="B38" s="94"/>
      <c r="C38" s="94"/>
      <c r="D38" s="94"/>
      <c r="E38" s="94"/>
      <c r="F38" s="94"/>
      <c r="G38" s="94"/>
      <c r="H38" s="94"/>
      <c r="I38" s="94"/>
      <c r="J38" s="94"/>
      <c r="K38" s="94"/>
      <c r="L38" s="94"/>
      <c r="M38" s="87"/>
      <c r="N38" s="87"/>
      <c r="O38" s="87"/>
      <c r="P38" s="87"/>
      <c r="Q38" s="87"/>
      <c r="R38" s="87"/>
      <c r="S38" s="87"/>
      <c r="T38" s="87"/>
      <c r="U38" s="87"/>
      <c r="V38" s="87"/>
      <c r="W38" s="87"/>
      <c r="X38" s="87"/>
      <c r="Y38" s="87"/>
      <c r="Z38" s="87"/>
      <c r="AA38" s="87">
        <f t="shared" ref="AA38:AX38" si="71">+AA29/AA$17</f>
        <v>1.1541078679469334</v>
      </c>
      <c r="AB38" s="87">
        <f t="shared" si="71"/>
        <v>1.1496538518191193</v>
      </c>
      <c r="AC38" s="87">
        <f t="shared" si="71"/>
        <v>1.1533708717444169</v>
      </c>
      <c r="AD38" s="87">
        <f t="shared" si="71"/>
        <v>1.1708433472670421</v>
      </c>
      <c r="AE38" s="87">
        <f t="shared" si="71"/>
        <v>1.241096571144608</v>
      </c>
      <c r="AF38" s="87">
        <f t="shared" si="71"/>
        <v>1.3265208813870459</v>
      </c>
      <c r="AG38" s="87">
        <f t="shared" si="71"/>
        <v>1.380005952577797</v>
      </c>
      <c r="AH38" s="87">
        <f t="shared" si="71"/>
        <v>1.3987182807615628</v>
      </c>
      <c r="AI38" s="87">
        <f t="shared" si="71"/>
        <v>1.410392779019735</v>
      </c>
      <c r="AJ38" s="87">
        <f t="shared" si="71"/>
        <v>1.2915553973057978</v>
      </c>
      <c r="AK38" s="87">
        <f t="shared" si="71"/>
        <v>1.1514650582672477</v>
      </c>
      <c r="AL38" s="87">
        <f t="shared" si="71"/>
        <v>0.96253875314119974</v>
      </c>
      <c r="AM38" s="87"/>
      <c r="AN38" s="121">
        <f t="shared" si="71"/>
        <v>0.87756329795530341</v>
      </c>
      <c r="AO38" s="121">
        <f t="shared" si="71"/>
        <v>0.8412557362066837</v>
      </c>
      <c r="AP38" s="121">
        <f t="shared" si="71"/>
        <v>0.78908608652527934</v>
      </c>
      <c r="AQ38" s="121">
        <f t="shared" si="71"/>
        <v>0.78618470836933863</v>
      </c>
      <c r="AR38" s="121">
        <f t="shared" si="71"/>
        <v>0.82866673010807002</v>
      </c>
      <c r="AS38" s="121">
        <f t="shared" si="71"/>
        <v>0.91694948448241242</v>
      </c>
      <c r="AT38" s="121">
        <f t="shared" si="71"/>
        <v>0.95774465617603932</v>
      </c>
      <c r="AU38" s="121">
        <f t="shared" si="71"/>
        <v>0.93482035723692547</v>
      </c>
      <c r="AV38" s="121">
        <f t="shared" si="71"/>
        <v>0.94228408283216503</v>
      </c>
      <c r="AW38" s="121">
        <f t="shared" si="71"/>
        <v>0.92981314624382927</v>
      </c>
      <c r="AX38" s="121">
        <f t="shared" si="71"/>
        <v>0.96230300838571936</v>
      </c>
      <c r="AY38" s="121">
        <f>+AY29/AY$17</f>
        <v>0.98932729470329972</v>
      </c>
      <c r="AZ38" s="121"/>
      <c r="BA38" s="121">
        <f t="shared" ref="BA38:BK38" si="72">+BA29/BA$17</f>
        <v>0.98587378138189918</v>
      </c>
      <c r="BB38" s="121">
        <f t="shared" si="72"/>
        <v>0.97481955086622751</v>
      </c>
      <c r="BC38" s="121">
        <f>+BC29/BC$17</f>
        <v>0.9759911076468244</v>
      </c>
      <c r="BD38" s="121">
        <f t="shared" si="72"/>
        <v>1.0219966983487399</v>
      </c>
      <c r="BE38" s="121">
        <f t="shared" si="72"/>
        <v>1.0541246729611842</v>
      </c>
      <c r="BF38" s="121">
        <f t="shared" si="72"/>
        <v>1.0506697417478463</v>
      </c>
      <c r="BG38" s="121">
        <f t="shared" si="72"/>
        <v>1.038154093277976</v>
      </c>
      <c r="BH38" s="121">
        <f t="shared" si="72"/>
        <v>1.0277830346659191</v>
      </c>
      <c r="BI38" s="121">
        <f t="shared" si="72"/>
        <v>1.0161267451955895</v>
      </c>
      <c r="BJ38" s="121">
        <f>+BJ29/BJ$17</f>
        <v>1.0362731787714603</v>
      </c>
      <c r="BK38" s="121">
        <f t="shared" si="72"/>
        <v>1.0366704634959054</v>
      </c>
      <c r="BL38" s="121">
        <f t="shared" ref="BL38:BO39" si="73">+BL29/BL$17</f>
        <v>1.0571473704038827</v>
      </c>
      <c r="BM38" s="121"/>
      <c r="BN38" s="121">
        <f t="shared" si="73"/>
        <v>1.0670209089684695</v>
      </c>
      <c r="BO38" s="121">
        <f t="shared" si="73"/>
        <v>1.1117508010274448</v>
      </c>
      <c r="BP38" s="121">
        <f t="shared" ref="BP38:BR39" si="74">+BP29/BP$17</f>
        <v>1.1328620641190643</v>
      </c>
      <c r="BQ38" s="121">
        <f t="shared" si="74"/>
        <v>1.165748284166368</v>
      </c>
      <c r="BR38" s="121">
        <f t="shared" si="74"/>
        <v>1.2244956823877309</v>
      </c>
      <c r="BS38" s="121">
        <f t="shared" ref="BS38:BU39" si="75">+BS29/BS$17</f>
        <v>1.2391121529445022</v>
      </c>
      <c r="BT38" s="121">
        <f t="shared" si="75"/>
        <v>1.2632871325200672</v>
      </c>
      <c r="BU38" s="121">
        <f t="shared" si="75"/>
        <v>1.265320406300646</v>
      </c>
      <c r="BV38" s="121">
        <f t="shared" ref="BV38:BX39" si="76">+BV29/BV$17</f>
        <v>1.2303350846219523</v>
      </c>
      <c r="BW38" s="121">
        <f t="shared" si="76"/>
        <v>1.187016026265775</v>
      </c>
      <c r="BX38" s="121">
        <f t="shared" si="76"/>
        <v>1.161038751129513</v>
      </c>
      <c r="BY38" s="121">
        <f>+BY29/BY$17</f>
        <v>1.170644620478726</v>
      </c>
      <c r="BZ38" s="111"/>
      <c r="CA38" s="121">
        <f t="shared" ref="CA38:CC39" si="77">+CA29/CA$17</f>
        <v>1.1570549215874415</v>
      </c>
      <c r="CB38" s="121">
        <f t="shared" si="77"/>
        <v>1.1857789740321165</v>
      </c>
      <c r="CC38" s="121">
        <f t="shared" si="77"/>
        <v>1.220770731154919</v>
      </c>
      <c r="CD38" s="121">
        <f t="shared" ref="CD38:CF39" si="78">+CD29/CD$17</f>
        <v>1.2853841447114376</v>
      </c>
      <c r="CE38" s="121">
        <f t="shared" si="78"/>
        <v>1.2751251102777927</v>
      </c>
      <c r="CF38" s="121">
        <f t="shared" si="78"/>
        <v>1.2035728524666676</v>
      </c>
      <c r="CG38" s="121">
        <f t="shared" ref="CG38:CI39" si="79">+CG29/CG$17</f>
        <v>1.187497970423721</v>
      </c>
      <c r="CH38" s="121">
        <f t="shared" si="79"/>
        <v>1.1829552306509341</v>
      </c>
      <c r="CI38" s="121">
        <f t="shared" si="79"/>
        <v>1.2328087353240078</v>
      </c>
      <c r="CJ38" s="121">
        <f t="shared" ref="CJ38:CL39" si="80">+CJ29/CJ$17</f>
        <v>1.2456061818957445</v>
      </c>
      <c r="CK38" s="121">
        <f t="shared" si="80"/>
        <v>1.2300722777750139</v>
      </c>
      <c r="CL38" s="121">
        <f t="shared" si="80"/>
        <v>1.2291131777064799</v>
      </c>
      <c r="CN38" s="121">
        <f t="shared" ref="CN38:CP39" si="81">+CN29/CN$17</f>
        <v>1.224168431494685</v>
      </c>
      <c r="CO38" s="121">
        <f t="shared" si="81"/>
        <v>1.2189683759303835</v>
      </c>
      <c r="CP38" s="121">
        <f t="shared" si="81"/>
        <v>1.2023075901574432</v>
      </c>
      <c r="CQ38" s="121">
        <f t="shared" ref="CQ38:CS39" si="82">+CQ29/CQ$17</f>
        <v>1.1973771489002336</v>
      </c>
      <c r="CR38" s="121">
        <f t="shared" si="82"/>
        <v>1.1941411917113349</v>
      </c>
      <c r="CS38" s="121">
        <f t="shared" si="82"/>
        <v>1.1813339550565831</v>
      </c>
      <c r="CT38" s="121">
        <f t="shared" ref="CT38:CV39" si="83">+CT29/CT$17</f>
        <v>1.1861906755167535</v>
      </c>
      <c r="CU38" s="121">
        <f t="shared" si="83"/>
        <v>1.1961512668616399</v>
      </c>
      <c r="CV38" s="121">
        <f t="shared" si="83"/>
        <v>1.1941693410074463</v>
      </c>
      <c r="CW38" s="121">
        <f t="shared" ref="CW38:CY39" si="84">+CW29/CW$17</f>
        <v>1.1997511121215949</v>
      </c>
      <c r="CX38" s="121">
        <f t="shared" si="84"/>
        <v>1.203716369703443</v>
      </c>
      <c r="CY38" s="121">
        <f t="shared" si="84"/>
        <v>1.202282371728735</v>
      </c>
      <c r="CZ38" s="121"/>
      <c r="DA38" s="121">
        <f t="shared" ref="DA38:DJ38" si="85">+DA29/DA$17</f>
        <v>1.1968483321196848</v>
      </c>
      <c r="DB38" s="121">
        <f t="shared" si="85"/>
        <v>1.1857637535663357</v>
      </c>
      <c r="DC38" s="121">
        <f t="shared" si="85"/>
        <v>1.1450529111173702</v>
      </c>
      <c r="DD38" s="121">
        <f t="shared" si="85"/>
        <v>1.1370435563592813</v>
      </c>
      <c r="DE38" s="121">
        <f t="shared" si="85"/>
        <v>1.1516060635387066</v>
      </c>
      <c r="DF38" s="121">
        <f t="shared" si="85"/>
        <v>1.1594893041745145</v>
      </c>
      <c r="DG38" s="121">
        <f t="shared" si="85"/>
        <v>1.1680551616958468</v>
      </c>
      <c r="DH38" s="121">
        <f t="shared" si="85"/>
        <v>1.161255225015682</v>
      </c>
      <c r="DI38" s="121">
        <f t="shared" si="85"/>
        <v>1.1643398164909113</v>
      </c>
      <c r="DJ38" s="121">
        <f t="shared" si="85"/>
        <v>1.1566332011610239</v>
      </c>
      <c r="DK38" s="121">
        <f>+DK29/DK$17</f>
        <v>1.1009564910068019</v>
      </c>
      <c r="DL38" s="121">
        <f>+DL29/DL$17</f>
        <v>1.0152292402590919</v>
      </c>
      <c r="DN38" s="274">
        <f t="shared" ref="DN38:DY38" si="86">+DN29/DN$17</f>
        <v>1.0044624429811462</v>
      </c>
      <c r="DO38" s="274">
        <f t="shared" si="86"/>
        <v>0.93587945855851107</v>
      </c>
      <c r="DP38" s="274">
        <f t="shared" si="86"/>
        <v>0.90082820010410813</v>
      </c>
      <c r="DQ38" s="274">
        <f t="shared" si="86"/>
        <v>0.90148894414048752</v>
      </c>
      <c r="DR38" s="274">
        <f t="shared" si="86"/>
        <v>0.88775510204081642</v>
      </c>
      <c r="DS38" s="274">
        <f t="shared" si="86"/>
        <v>0.89707430014733736</v>
      </c>
      <c r="DT38" s="274">
        <f t="shared" si="86"/>
        <v>0.90693820010668291</v>
      </c>
      <c r="DU38" s="274">
        <f t="shared" si="86"/>
        <v>0.90569934442381295</v>
      </c>
      <c r="DV38" s="274">
        <f t="shared" si="86"/>
        <v>0.9047661213078676</v>
      </c>
      <c r="DW38" s="274">
        <f t="shared" si="86"/>
        <v>0.92089087939422953</v>
      </c>
      <c r="DX38" s="274">
        <f t="shared" si="86"/>
        <v>0.90115878052145126</v>
      </c>
      <c r="DY38" s="274">
        <f t="shared" si="86"/>
        <v>0.87923527407510627</v>
      </c>
      <c r="DZ38" s="275"/>
      <c r="EA38" s="274">
        <f t="shared" ref="EA38:EC39" si="87">+EA29/EA$17</f>
        <v>0.83315252766326764</v>
      </c>
      <c r="EB38" s="274">
        <f t="shared" si="87"/>
        <v>0.79671604629063497</v>
      </c>
      <c r="EC38" s="274">
        <f t="shared" si="87"/>
        <v>0.78670861349289589</v>
      </c>
      <c r="ED38" s="274">
        <f t="shared" ref="ED38:EL38" si="88">+ED29/ED$17</f>
        <v>0.7801321313379832</v>
      </c>
      <c r="EE38" s="274">
        <f t="shared" si="88"/>
        <v>0.78509418574640399</v>
      </c>
      <c r="EF38" s="274">
        <f t="shared" si="88"/>
        <v>0.80208726972973432</v>
      </c>
      <c r="EG38" s="274">
        <f t="shared" si="88"/>
        <v>0.80427798508886394</v>
      </c>
      <c r="EH38" s="274">
        <f t="shared" si="88"/>
        <v>0.8060880123136932</v>
      </c>
      <c r="EI38" s="274">
        <f t="shared" si="88"/>
        <v>0.80812757868616658</v>
      </c>
      <c r="EJ38" s="274">
        <f t="shared" si="88"/>
        <v>0.78326239778107221</v>
      </c>
      <c r="EK38" s="274">
        <f t="shared" si="88"/>
        <v>0.74695103126813722</v>
      </c>
      <c r="EL38" s="274">
        <f t="shared" si="88"/>
        <v>0.71559560479285445</v>
      </c>
      <c r="EM38" s="274">
        <f>+EM29/EN$17</f>
        <v>0</v>
      </c>
      <c r="EN38" s="274">
        <f>+EN29/EN$17</f>
        <v>0.71624214036298062</v>
      </c>
      <c r="EO38" s="274">
        <f>+EO29/EO17</f>
        <v>0.78107817564803794</v>
      </c>
      <c r="EP38" s="274">
        <f t="shared" ref="EP38:ES38" si="89">+EP29/EP17</f>
        <v>0.80337437864818595</v>
      </c>
      <c r="EQ38" s="274">
        <f t="shared" si="89"/>
        <v>0.82148010719439291</v>
      </c>
      <c r="ER38" s="274">
        <f t="shared" si="89"/>
        <v>0.82147290028961528</v>
      </c>
      <c r="ES38" s="274">
        <f t="shared" si="89"/>
        <v>0.82348060568346815</v>
      </c>
      <c r="ET38" s="274"/>
      <c r="EU38" s="263"/>
      <c r="EV38" s="263"/>
      <c r="EW38" s="263"/>
      <c r="EX38" s="263"/>
      <c r="EY38" s="263"/>
    </row>
    <row r="39" spans="1:155" ht="13.5" customHeight="1">
      <c r="A39" s="247" t="s">
        <v>129</v>
      </c>
      <c r="B39" s="94"/>
      <c r="C39" s="94"/>
      <c r="D39" s="94"/>
      <c r="E39" s="94"/>
      <c r="F39" s="94"/>
      <c r="G39" s="94"/>
      <c r="H39" s="94"/>
      <c r="I39" s="94"/>
      <c r="J39" s="94"/>
      <c r="K39" s="94"/>
      <c r="L39" s="94"/>
      <c r="M39" s="87"/>
      <c r="N39" s="87"/>
      <c r="O39" s="87"/>
      <c r="P39" s="87"/>
      <c r="Q39" s="87"/>
      <c r="R39" s="87"/>
      <c r="S39" s="87"/>
      <c r="T39" s="87"/>
      <c r="U39" s="87"/>
      <c r="V39" s="87"/>
      <c r="W39" s="87"/>
      <c r="X39" s="87"/>
      <c r="Y39" s="87"/>
      <c r="Z39" s="87"/>
      <c r="AA39" s="87">
        <f t="shared" ref="AA39:AX39" si="90">+AA30/AA$17</f>
        <v>1.0489113434645769</v>
      </c>
      <c r="AB39" s="87">
        <f t="shared" si="90"/>
        <v>1.0395934600088377</v>
      </c>
      <c r="AC39" s="87">
        <f t="shared" si="90"/>
        <v>1.0559261446736057</v>
      </c>
      <c r="AD39" s="87">
        <f t="shared" si="90"/>
        <v>1.1134807894264629</v>
      </c>
      <c r="AE39" s="87">
        <f t="shared" si="90"/>
        <v>1.2040630398258358</v>
      </c>
      <c r="AF39" s="87">
        <f t="shared" si="90"/>
        <v>1.3628777990356475</v>
      </c>
      <c r="AG39" s="87">
        <f t="shared" si="90"/>
        <v>1.3984048294045319</v>
      </c>
      <c r="AH39" s="87">
        <f t="shared" si="90"/>
        <v>1.4072108753395534</v>
      </c>
      <c r="AI39" s="87">
        <f t="shared" si="90"/>
        <v>1.416101776399606</v>
      </c>
      <c r="AJ39" s="87">
        <f t="shared" si="90"/>
        <v>1.2976974660257548</v>
      </c>
      <c r="AK39" s="87">
        <f t="shared" si="90"/>
        <v>1.1593879146654753</v>
      </c>
      <c r="AL39" s="87">
        <f t="shared" si="90"/>
        <v>0.96304045968123952</v>
      </c>
      <c r="AM39" s="87"/>
      <c r="AN39" s="121">
        <f t="shared" si="90"/>
        <v>0.86110471550270717</v>
      </c>
      <c r="AO39" s="121">
        <f t="shared" si="90"/>
        <v>0.82193534366631982</v>
      </c>
      <c r="AP39" s="121">
        <f t="shared" si="90"/>
        <v>0.73812598579829003</v>
      </c>
      <c r="AQ39" s="121">
        <f t="shared" si="90"/>
        <v>0.70072401150216523</v>
      </c>
      <c r="AR39" s="121">
        <f t="shared" si="90"/>
        <v>0.72106034985493872</v>
      </c>
      <c r="AS39" s="121">
        <f t="shared" si="90"/>
        <v>0.76213307022393217</v>
      </c>
      <c r="AT39" s="121">
        <f t="shared" si="90"/>
        <v>0.76663871046416421</v>
      </c>
      <c r="AU39" s="121">
        <f t="shared" si="90"/>
        <v>0.76800573608170997</v>
      </c>
      <c r="AV39" s="121">
        <f t="shared" si="90"/>
        <v>0.78885838935329544</v>
      </c>
      <c r="AW39" s="121">
        <f t="shared" si="90"/>
        <v>0.78034900113630479</v>
      </c>
      <c r="AX39" s="121">
        <f t="shared" si="90"/>
        <v>0.81973873000143249</v>
      </c>
      <c r="AY39" s="121">
        <f>+AY30/AY$17</f>
        <v>0.84490657799817503</v>
      </c>
      <c r="AZ39" s="121"/>
      <c r="BA39" s="121">
        <f t="shared" ref="BA39:BK39" si="91">+BA30/BA$17</f>
        <v>0.84918630380399041</v>
      </c>
      <c r="BB39" s="121">
        <f t="shared" si="91"/>
        <v>0.83872709592176575</v>
      </c>
      <c r="BC39" s="121">
        <f t="shared" si="91"/>
        <v>0.8409223510311763</v>
      </c>
      <c r="BD39" s="121">
        <f t="shared" si="91"/>
        <v>0.89597816649589412</v>
      </c>
      <c r="BE39" s="121">
        <f t="shared" si="91"/>
        <v>0.92758912265968041</v>
      </c>
      <c r="BF39" s="121">
        <f t="shared" si="91"/>
        <v>0.93363114023902716</v>
      </c>
      <c r="BG39" s="121">
        <f t="shared" si="91"/>
        <v>0.92208178547865416</v>
      </c>
      <c r="BH39" s="121">
        <f t="shared" si="91"/>
        <v>0.91722124043393849</v>
      </c>
      <c r="BI39" s="121">
        <f t="shared" si="91"/>
        <v>0.90999561669015572</v>
      </c>
      <c r="BJ39" s="121">
        <f>+BJ30/BJ$17</f>
        <v>0.92885938595252915</v>
      </c>
      <c r="BK39" s="121">
        <f t="shared" si="91"/>
        <v>0.93761173581351043</v>
      </c>
      <c r="BL39" s="121">
        <f t="shared" si="73"/>
        <v>0.95982301219698662</v>
      </c>
      <c r="BM39" s="121"/>
      <c r="BN39" s="121">
        <f t="shared" si="73"/>
        <v>0.96471543743506205</v>
      </c>
      <c r="BO39" s="121">
        <f t="shared" si="73"/>
        <v>1.015555488181453</v>
      </c>
      <c r="BP39" s="121">
        <f t="shared" si="74"/>
        <v>1.0595521124190854</v>
      </c>
      <c r="BQ39" s="121">
        <f t="shared" si="74"/>
        <v>1.1128548340311744</v>
      </c>
      <c r="BR39" s="121">
        <f t="shared" si="74"/>
        <v>1.1671927143710543</v>
      </c>
      <c r="BS39" s="121">
        <f t="shared" si="75"/>
        <v>1.1704653639367673</v>
      </c>
      <c r="BT39" s="121">
        <f t="shared" si="75"/>
        <v>1.1922778328695653</v>
      </c>
      <c r="BU39" s="121">
        <f t="shared" si="75"/>
        <v>1.1990217876072005</v>
      </c>
      <c r="BV39" s="121">
        <f t="shared" si="76"/>
        <v>1.1671126180342888</v>
      </c>
      <c r="BW39" s="121">
        <f t="shared" si="76"/>
        <v>1.1391230810293387</v>
      </c>
      <c r="BX39" s="121">
        <f t="shared" si="76"/>
        <v>1.1178147748770182</v>
      </c>
      <c r="BY39" s="121">
        <f>+BY30/BY$17</f>
        <v>1.1404607687517088</v>
      </c>
      <c r="CA39" s="121">
        <f t="shared" si="77"/>
        <v>1.1266054905264662</v>
      </c>
      <c r="CB39" s="121">
        <f t="shared" si="77"/>
        <v>1.1370996020536424</v>
      </c>
      <c r="CC39" s="121">
        <f t="shared" si="77"/>
        <v>1.1511158828522523</v>
      </c>
      <c r="CD39" s="121">
        <f t="shared" si="78"/>
        <v>1.1670237074925236</v>
      </c>
      <c r="CE39" s="121">
        <f t="shared" si="78"/>
        <v>1.150500330176647</v>
      </c>
      <c r="CF39" s="121">
        <f t="shared" si="78"/>
        <v>1.1016903984417796</v>
      </c>
      <c r="CG39" s="121">
        <f t="shared" si="79"/>
        <v>1.0997840506475438</v>
      </c>
      <c r="CH39" s="121">
        <f t="shared" si="79"/>
        <v>1.1041151512134135</v>
      </c>
      <c r="CI39" s="121">
        <f t="shared" si="79"/>
        <v>1.1385043731650533</v>
      </c>
      <c r="CJ39" s="121">
        <f t="shared" si="80"/>
        <v>1.1473053278897931</v>
      </c>
      <c r="CK39" s="121">
        <f t="shared" si="80"/>
        <v>1.1412498504562809</v>
      </c>
      <c r="CL39" s="121">
        <f t="shared" si="80"/>
        <v>1.1413481798888381</v>
      </c>
      <c r="CN39" s="121">
        <f t="shared" si="81"/>
        <v>1.1367613613691534</v>
      </c>
      <c r="CO39" s="121">
        <f t="shared" si="81"/>
        <v>1.1427605171889132</v>
      </c>
      <c r="CP39" s="121">
        <f t="shared" si="81"/>
        <v>1.1311178920919014</v>
      </c>
      <c r="CQ39" s="121">
        <f t="shared" si="82"/>
        <v>1.1332881136756046</v>
      </c>
      <c r="CR39" s="121">
        <f t="shared" si="82"/>
        <v>1.1299835363391306</v>
      </c>
      <c r="CS39" s="121">
        <f t="shared" si="82"/>
        <v>1.1250170297423467</v>
      </c>
      <c r="CT39" s="121">
        <f t="shared" si="83"/>
        <v>1.1318188965740243</v>
      </c>
      <c r="CU39" s="121">
        <f t="shared" si="83"/>
        <v>1.1417432221479573</v>
      </c>
      <c r="CV39" s="121">
        <f t="shared" si="83"/>
        <v>1.1395293360782586</v>
      </c>
      <c r="CW39" s="121">
        <f t="shared" si="84"/>
        <v>1.1422427511356752</v>
      </c>
      <c r="CX39" s="121">
        <f t="shared" si="84"/>
        <v>1.1467075580264887</v>
      </c>
      <c r="CY39" s="121">
        <f t="shared" si="84"/>
        <v>1.14612023720876</v>
      </c>
      <c r="CZ39" s="121"/>
      <c r="DA39" s="121">
        <f t="shared" ref="DA39:DJ39" si="92">+DA30/DA$17</f>
        <v>1.1409064503868176</v>
      </c>
      <c r="DB39" s="121">
        <f t="shared" si="92"/>
        <v>1.1298100363252632</v>
      </c>
      <c r="DC39" s="121">
        <f t="shared" si="92"/>
        <v>1.1061404695975976</v>
      </c>
      <c r="DD39" s="121">
        <f t="shared" si="92"/>
        <v>1.1034513815148896</v>
      </c>
      <c r="DE39" s="121">
        <f t="shared" si="92"/>
        <v>1.1026455398854511</v>
      </c>
      <c r="DF39" s="121">
        <f t="shared" si="92"/>
        <v>1.1063467818758734</v>
      </c>
      <c r="DG39" s="121">
        <f t="shared" si="92"/>
        <v>1.1153585934482086</v>
      </c>
      <c r="DH39" s="121">
        <f t="shared" si="92"/>
        <v>1.1085415475483367</v>
      </c>
      <c r="DI39" s="121">
        <f t="shared" si="92"/>
        <v>1.1119912470701259</v>
      </c>
      <c r="DJ39" s="121">
        <f t="shared" si="92"/>
        <v>1.1061876558858939</v>
      </c>
      <c r="DK39" s="121">
        <f>+DK30/DK$17</f>
        <v>1.0689709535804748</v>
      </c>
      <c r="DL39" s="121">
        <f>+DL30/DL$17</f>
        <v>0.98929487635163804</v>
      </c>
      <c r="DN39" s="274">
        <f t="shared" ref="DN39:DY39" si="93">+DN30/DN$17</f>
        <v>0.97091668318892665</v>
      </c>
      <c r="DO39" s="274">
        <f t="shared" si="93"/>
        <v>0.91875774254069897</v>
      </c>
      <c r="DP39" s="274">
        <f t="shared" si="93"/>
        <v>0.88171955010929437</v>
      </c>
      <c r="DQ39" s="274">
        <f t="shared" si="93"/>
        <v>0.86277617733206347</v>
      </c>
      <c r="DR39" s="274">
        <f t="shared" si="93"/>
        <v>0.8412025292491766</v>
      </c>
      <c r="DS39" s="274">
        <f t="shared" si="93"/>
        <v>0.85631733032280277</v>
      </c>
      <c r="DT39" s="274">
        <f t="shared" si="93"/>
        <v>0.86573192105463681</v>
      </c>
      <c r="DU39" s="274">
        <f t="shared" si="93"/>
        <v>0.86708477016938879</v>
      </c>
      <c r="DV39" s="274">
        <f t="shared" si="93"/>
        <v>0.86604550259865232</v>
      </c>
      <c r="DW39" s="274">
        <f t="shared" si="93"/>
        <v>0.87999061179182025</v>
      </c>
      <c r="DX39" s="274">
        <f t="shared" si="93"/>
        <v>0.86270520071734025</v>
      </c>
      <c r="DY39" s="274">
        <f t="shared" si="93"/>
        <v>0.844014660509805</v>
      </c>
      <c r="DZ39" s="275"/>
      <c r="EA39" s="274">
        <f t="shared" si="87"/>
        <v>0.79636169114401356</v>
      </c>
      <c r="EB39" s="274">
        <f t="shared" si="87"/>
        <v>0.75702941414796221</v>
      </c>
      <c r="EC39" s="274">
        <f t="shared" si="87"/>
        <v>0.73612567598132961</v>
      </c>
      <c r="ED39" s="274">
        <f t="shared" ref="ED39:EL39" si="94">+ED30/ED$17</f>
        <v>0.72769516289744474</v>
      </c>
      <c r="EE39" s="274">
        <f t="shared" si="94"/>
        <v>0.71358204832958283</v>
      </c>
      <c r="EF39" s="274">
        <f t="shared" si="94"/>
        <v>0.68142769706413442</v>
      </c>
      <c r="EG39" s="274">
        <f t="shared" si="94"/>
        <v>0.71112154025777796</v>
      </c>
      <c r="EH39" s="274">
        <f t="shared" si="94"/>
        <v>0.71547529135077792</v>
      </c>
      <c r="EI39" s="274">
        <f t="shared" si="94"/>
        <v>0.7167398449094845</v>
      </c>
      <c r="EJ39" s="274">
        <f t="shared" si="94"/>
        <v>0.70542776529099516</v>
      </c>
      <c r="EK39" s="274">
        <f t="shared" si="94"/>
        <v>0.68026745623059215</v>
      </c>
      <c r="EL39" s="274">
        <f t="shared" si="94"/>
        <v>0.66308432682386798</v>
      </c>
      <c r="EM39" s="274">
        <f>+EM30/EN$17</f>
        <v>0</v>
      </c>
      <c r="EN39" s="274">
        <f>+EN30/EO$17</f>
        <v>0.669055121509043</v>
      </c>
      <c r="EO39" s="274">
        <f>+EO30/EO17</f>
        <v>0.73626895399243997</v>
      </c>
      <c r="EP39" s="274">
        <f t="shared" ref="EP39:ES39" si="95">+EP30/EP17</f>
        <v>0.75345997566157219</v>
      </c>
      <c r="EQ39" s="274">
        <f t="shared" si="95"/>
        <v>0.75757575757575757</v>
      </c>
      <c r="ER39" s="274">
        <f t="shared" si="95"/>
        <v>0.76106743897393458</v>
      </c>
      <c r="ES39" s="274">
        <f t="shared" si="95"/>
        <v>0.76291225886745484</v>
      </c>
      <c r="ET39" s="274"/>
      <c r="EU39" s="263"/>
      <c r="EV39" s="263"/>
      <c r="EW39" s="263"/>
      <c r="EX39" s="263"/>
      <c r="EY39" s="263"/>
    </row>
    <row r="40" spans="1:155" ht="6" customHeight="1">
      <c r="A40" s="94"/>
      <c r="B40" s="94"/>
      <c r="C40" s="94"/>
      <c r="D40" s="94"/>
      <c r="E40" s="94"/>
      <c r="F40" s="94"/>
      <c r="G40" s="94"/>
      <c r="H40" s="94"/>
      <c r="I40" s="94"/>
      <c r="J40" s="94"/>
      <c r="K40" s="94"/>
      <c r="L40" s="94"/>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DN40" s="263"/>
      <c r="DO40" s="263"/>
      <c r="DP40" s="263"/>
      <c r="DQ40" s="263"/>
      <c r="DR40" s="263"/>
      <c r="DS40" s="263"/>
      <c r="DT40" s="263"/>
      <c r="DU40" s="263"/>
      <c r="DV40" s="263"/>
      <c r="DW40" s="263"/>
      <c r="DX40" s="263"/>
      <c r="DY40" s="263"/>
      <c r="DZ40" s="263"/>
      <c r="EA40" s="263"/>
      <c r="EB40" s="263"/>
      <c r="EC40" s="263"/>
      <c r="ED40" s="263"/>
      <c r="EE40" s="263"/>
      <c r="EF40" s="263"/>
      <c r="EG40" s="263"/>
      <c r="EH40" s="263"/>
      <c r="EI40" s="263"/>
      <c r="EJ40" s="263"/>
      <c r="EK40" s="263"/>
      <c r="EL40" s="263"/>
      <c r="EN40" s="263"/>
      <c r="EO40" s="263"/>
      <c r="EP40" s="263"/>
      <c r="EQ40" s="263"/>
      <c r="ER40" s="263"/>
      <c r="ES40" s="263"/>
      <c r="ET40" s="263"/>
      <c r="EU40" s="263"/>
      <c r="EV40" s="263"/>
      <c r="EW40" s="263"/>
      <c r="EX40" s="263"/>
      <c r="EY40" s="263"/>
    </row>
    <row r="41" spans="1:155" ht="12.75" customHeight="1">
      <c r="A41" s="112" t="s">
        <v>59</v>
      </c>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273"/>
      <c r="DO41" s="273"/>
      <c r="DP41" s="273"/>
      <c r="DQ41" s="273"/>
      <c r="DR41" s="273"/>
      <c r="DS41" s="273"/>
      <c r="DT41" s="273"/>
      <c r="DU41" s="273"/>
      <c r="DV41" s="273"/>
      <c r="DW41" s="273"/>
      <c r="DX41" s="273"/>
      <c r="DY41" s="273"/>
      <c r="DZ41" s="263"/>
      <c r="EA41" s="263"/>
      <c r="EB41" s="263"/>
      <c r="EC41" s="263"/>
      <c r="ED41" s="263"/>
      <c r="EE41" s="263"/>
      <c r="EF41" s="263"/>
      <c r="EG41" s="263"/>
      <c r="EH41" s="263"/>
      <c r="EI41" s="263"/>
      <c r="EJ41" s="263"/>
      <c r="EK41" s="263"/>
      <c r="EL41" s="263"/>
      <c r="EN41" s="263"/>
      <c r="EO41" s="263"/>
      <c r="EP41" s="263"/>
      <c r="EQ41" s="263"/>
      <c r="ER41" s="263"/>
      <c r="ES41" s="263"/>
      <c r="ET41" s="263"/>
      <c r="EU41" s="263"/>
      <c r="EV41" s="263"/>
      <c r="EW41" s="263"/>
      <c r="EX41" s="263"/>
      <c r="EY41" s="263"/>
    </row>
    <row r="42" spans="1:155" ht="6" customHeight="1">
      <c r="A42" s="94"/>
      <c r="B42" s="94"/>
      <c r="C42" s="94"/>
      <c r="D42" s="94"/>
      <c r="E42" s="94"/>
      <c r="F42" s="94"/>
      <c r="G42" s="94"/>
      <c r="H42" s="94"/>
      <c r="I42" s="94"/>
      <c r="J42" s="94"/>
      <c r="K42" s="94"/>
      <c r="L42" s="94"/>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DN42" s="263"/>
      <c r="DO42" s="263"/>
      <c r="DP42" s="263"/>
      <c r="DQ42" s="263"/>
      <c r="DR42" s="263"/>
      <c r="DS42" s="263"/>
      <c r="DT42" s="263"/>
      <c r="DU42" s="263"/>
      <c r="DV42" s="263"/>
      <c r="DW42" s="263"/>
      <c r="DX42" s="263"/>
      <c r="DY42" s="263"/>
      <c r="DZ42" s="263"/>
      <c r="EA42" s="263"/>
      <c r="EB42" s="263"/>
      <c r="EC42" s="263"/>
      <c r="ED42" s="263"/>
      <c r="EE42" s="263"/>
      <c r="EF42" s="263"/>
      <c r="EG42" s="263"/>
      <c r="EH42" s="263"/>
      <c r="EI42" s="263"/>
      <c r="EJ42" s="263"/>
      <c r="EK42" s="263"/>
      <c r="EL42" s="263"/>
      <c r="EN42" s="263"/>
      <c r="EO42" s="263"/>
      <c r="EP42" s="263"/>
      <c r="EQ42" s="263"/>
      <c r="ER42" s="263"/>
      <c r="ES42" s="263"/>
      <c r="ET42" s="263"/>
      <c r="EU42" s="263"/>
      <c r="EV42" s="263"/>
      <c r="EW42" s="263"/>
      <c r="EX42" s="263"/>
      <c r="EY42" s="263"/>
    </row>
    <row r="43" spans="1:155" s="134" customFormat="1" ht="12.75" customHeight="1">
      <c r="A43" s="133" t="s">
        <v>96</v>
      </c>
      <c r="B43" s="133"/>
      <c r="C43" s="133"/>
      <c r="D43" s="133"/>
      <c r="E43" s="133"/>
      <c r="F43" s="133"/>
      <c r="G43" s="133"/>
      <c r="H43" s="133"/>
      <c r="I43" s="133"/>
      <c r="J43" s="133"/>
      <c r="K43" s="133"/>
      <c r="L43" s="133"/>
      <c r="M43" s="133"/>
      <c r="N43" s="39"/>
      <c r="O43" s="39"/>
      <c r="P43" s="39"/>
      <c r="Q43" s="39"/>
      <c r="R43" s="39"/>
      <c r="S43" s="39"/>
      <c r="T43" s="39"/>
      <c r="U43" s="39"/>
      <c r="V43" s="39"/>
      <c r="W43" s="39"/>
      <c r="X43" s="39"/>
      <c r="Y43" s="39"/>
      <c r="AA43" s="39"/>
      <c r="AB43" s="39"/>
      <c r="AC43" s="39"/>
      <c r="AD43" s="39"/>
      <c r="AE43" s="39"/>
      <c r="AF43" s="39"/>
      <c r="AG43" s="39"/>
      <c r="AH43" s="39"/>
      <c r="AI43" s="39"/>
      <c r="AJ43" s="39"/>
      <c r="AK43" s="39"/>
      <c r="AL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P43" s="40"/>
      <c r="BT43" s="40"/>
      <c r="BV43" s="141"/>
      <c r="BW43" s="141"/>
      <c r="BX43" s="143"/>
      <c r="BY43" s="86"/>
      <c r="BZ43" s="86"/>
      <c r="CA43" s="32">
        <v>8</v>
      </c>
      <c r="CB43" s="32">
        <v>8.7000000000000028</v>
      </c>
      <c r="CC43" s="32">
        <v>8.0999999999999943</v>
      </c>
      <c r="CD43" s="32">
        <v>8.2999999999999972</v>
      </c>
      <c r="CE43" s="32">
        <v>8.5</v>
      </c>
      <c r="CF43" s="32">
        <v>8.5999999999999943</v>
      </c>
      <c r="CG43" s="32">
        <v>8.5</v>
      </c>
      <c r="CH43" s="32">
        <v>8.5999999999999943</v>
      </c>
      <c r="CI43" s="32">
        <v>8</v>
      </c>
      <c r="CJ43" s="32">
        <v>7.5999999999999943</v>
      </c>
      <c r="CK43" s="32">
        <v>7.4000000000000057</v>
      </c>
      <c r="CL43" s="32">
        <v>7.2000000000000028</v>
      </c>
      <c r="CM43" s="217"/>
      <c r="CN43" s="32">
        <v>9.4000000000000057</v>
      </c>
      <c r="CO43" s="32">
        <v>9.0999999999999943</v>
      </c>
      <c r="CP43" s="32">
        <v>8.7000000000000028</v>
      </c>
      <c r="CQ43" s="32">
        <v>7.4000000000000057</v>
      </c>
      <c r="CR43" s="32">
        <v>5.2999999999999972</v>
      </c>
      <c r="CS43" s="32">
        <v>4.4000000000000057</v>
      </c>
      <c r="CT43" s="32">
        <v>4</v>
      </c>
      <c r="CU43" s="32">
        <v>3.9000000000000057</v>
      </c>
      <c r="CV43" s="32">
        <v>3.2000000000000028</v>
      </c>
      <c r="CW43" s="32">
        <v>3.4000000000000057</v>
      </c>
      <c r="CX43" s="32">
        <v>3.2999999999999972</v>
      </c>
      <c r="CY43" s="211">
        <v>3.5</v>
      </c>
      <c r="CZ43" s="217"/>
      <c r="DA43" s="217">
        <v>1.6</v>
      </c>
      <c r="DB43" s="217">
        <v>2.4</v>
      </c>
      <c r="DC43" s="217">
        <v>3.3</v>
      </c>
      <c r="DD43" s="217">
        <v>3.6</v>
      </c>
      <c r="DE43" s="134">
        <v>4</v>
      </c>
      <c r="DF43" s="134">
        <v>3.4</v>
      </c>
      <c r="DG43" s="134">
        <v>4.0999999999999996</v>
      </c>
      <c r="DH43" s="134">
        <v>4.0999999999999996</v>
      </c>
      <c r="DI43" s="134">
        <v>4.3</v>
      </c>
      <c r="DJ43" s="134">
        <v>4.2</v>
      </c>
      <c r="DK43" s="134">
        <v>3.8</v>
      </c>
      <c r="DL43" s="134">
        <v>3.9</v>
      </c>
      <c r="DN43" s="272">
        <v>1.5</v>
      </c>
      <c r="DO43" s="271">
        <v>2.5</v>
      </c>
      <c r="DP43" s="271">
        <v>2.5</v>
      </c>
      <c r="DQ43" s="271">
        <v>3</v>
      </c>
      <c r="DR43" s="271">
        <v>2.9</v>
      </c>
      <c r="DS43" s="271">
        <v>4</v>
      </c>
      <c r="DT43" s="271">
        <v>4</v>
      </c>
      <c r="DU43" s="271">
        <v>3.9</v>
      </c>
      <c r="DV43" s="271">
        <v>3.7</v>
      </c>
      <c r="DW43" s="271">
        <v>3.5</v>
      </c>
      <c r="DX43" s="271">
        <v>2.9</v>
      </c>
      <c r="DY43" s="271">
        <v>3.1</v>
      </c>
      <c r="DZ43" s="271"/>
      <c r="EA43" s="271">
        <v>4.3</v>
      </c>
      <c r="EB43" s="271">
        <v>4.8</v>
      </c>
      <c r="EC43" s="271">
        <v>5.5</v>
      </c>
      <c r="ED43" s="271">
        <v>5.5</v>
      </c>
      <c r="EE43" s="271">
        <v>5.5</v>
      </c>
      <c r="EF43" s="271">
        <v>4.7</v>
      </c>
      <c r="EG43" s="271">
        <v>3</v>
      </c>
      <c r="EH43" s="271">
        <v>2.4</v>
      </c>
      <c r="EI43" s="271">
        <v>1.6</v>
      </c>
      <c r="EJ43" s="271">
        <v>0.4</v>
      </c>
      <c r="EK43" s="271">
        <v>0.6</v>
      </c>
      <c r="EL43" s="271">
        <v>0.5</v>
      </c>
      <c r="EN43" s="271">
        <v>6.4</v>
      </c>
      <c r="EO43" s="271">
        <v>6.2</v>
      </c>
      <c r="EP43" s="271">
        <v>6.6</v>
      </c>
      <c r="EQ43" s="271">
        <v>5.7</v>
      </c>
      <c r="ER43" s="271">
        <v>6.4</v>
      </c>
      <c r="ES43" s="271">
        <v>6.1</v>
      </c>
      <c r="ET43" s="271">
        <v>6.2</v>
      </c>
      <c r="EU43" s="271"/>
      <c r="EV43" s="271"/>
      <c r="EW43" s="271"/>
      <c r="EX43" s="271"/>
      <c r="EY43" s="271"/>
    </row>
    <row r="44" spans="1:155" s="134" customFormat="1" ht="12.75" customHeight="1">
      <c r="A44" s="133" t="s">
        <v>85</v>
      </c>
      <c r="B44" s="133"/>
      <c r="C44" s="133"/>
      <c r="D44" s="133"/>
      <c r="E44" s="133"/>
      <c r="F44" s="133"/>
      <c r="G44" s="133"/>
      <c r="H44" s="133"/>
      <c r="I44" s="133"/>
      <c r="J44" s="133"/>
      <c r="K44" s="133"/>
      <c r="L44" s="133"/>
      <c r="M44" s="133"/>
      <c r="N44" s="39"/>
      <c r="O44" s="39"/>
      <c r="P44" s="39"/>
      <c r="Q44" s="39"/>
      <c r="R44" s="39"/>
      <c r="S44" s="39"/>
      <c r="T44" s="39"/>
      <c r="U44" s="39"/>
      <c r="V44" s="39"/>
      <c r="W44" s="39"/>
      <c r="X44" s="39"/>
      <c r="Y44" s="39"/>
      <c r="AA44" s="39"/>
      <c r="AB44" s="39"/>
      <c r="AC44" s="39"/>
      <c r="AD44" s="39"/>
      <c r="AE44" s="39"/>
      <c r="AF44" s="39"/>
      <c r="AG44" s="39"/>
      <c r="AH44" s="39"/>
      <c r="AI44" s="39"/>
      <c r="AJ44" s="39"/>
      <c r="AK44" s="39"/>
      <c r="AL44" s="39"/>
      <c r="AN44" s="39"/>
      <c r="AO44" s="39"/>
      <c r="AP44" s="39"/>
      <c r="AQ44" s="39"/>
      <c r="AR44" s="39"/>
      <c r="AS44" s="39"/>
      <c r="AT44" s="39"/>
      <c r="AU44" s="39"/>
      <c r="AV44" s="39"/>
      <c r="AW44" s="39"/>
      <c r="AX44" s="39"/>
      <c r="AY44" s="39"/>
      <c r="AZ44" s="39"/>
      <c r="BA44" s="39">
        <v>2.2000000000000002</v>
      </c>
      <c r="BB44" s="39">
        <v>2.6</v>
      </c>
      <c r="BC44" s="39">
        <v>6.9</v>
      </c>
      <c r="BD44" s="39">
        <v>12.7</v>
      </c>
      <c r="BE44" s="39">
        <v>7.2</v>
      </c>
      <c r="BF44" s="39">
        <v>-0.70000000000000284</v>
      </c>
      <c r="BG44" s="39">
        <f>89.9-100</f>
        <v>-10.099999999999994</v>
      </c>
      <c r="BH44" s="39">
        <f>96.8-100</f>
        <v>-3.2000000000000028</v>
      </c>
      <c r="BI44" s="39">
        <f>95.4-100</f>
        <v>-4.5999999999999943</v>
      </c>
      <c r="BJ44" s="39">
        <v>2.2000000000000002</v>
      </c>
      <c r="BK44" s="39">
        <v>9.8000000000000007</v>
      </c>
      <c r="BL44" s="39">
        <f>98-100</f>
        <v>-2</v>
      </c>
      <c r="BM44" s="39"/>
      <c r="BN44" s="39">
        <v>6.1</v>
      </c>
      <c r="BO44" s="134">
        <v>0.9</v>
      </c>
      <c r="BP44" s="40">
        <v>0.3</v>
      </c>
      <c r="BQ44" s="134">
        <v>7.7</v>
      </c>
      <c r="BR44" s="134">
        <v>9.9</v>
      </c>
      <c r="BS44" s="134">
        <v>2.2999999999999998</v>
      </c>
      <c r="BT44" s="40">
        <v>7</v>
      </c>
      <c r="BU44" s="134">
        <v>9.4</v>
      </c>
      <c r="BV44" s="40">
        <v>9.6999999999999993</v>
      </c>
      <c r="BW44" s="40">
        <v>4.0999999999999996</v>
      </c>
      <c r="BX44" s="134">
        <v>3.1</v>
      </c>
      <c r="BY44" s="134">
        <v>6.1</v>
      </c>
      <c r="CA44" s="32">
        <v>8</v>
      </c>
      <c r="CB44" s="32">
        <v>9.4000000000000057</v>
      </c>
      <c r="CC44" s="32">
        <v>7</v>
      </c>
      <c r="CD44" s="32">
        <v>8.9000000000000057</v>
      </c>
      <c r="CE44" s="32">
        <v>9.2999999999999972</v>
      </c>
      <c r="CF44" s="32">
        <v>8.9000000000000057</v>
      </c>
      <c r="CG44" s="32">
        <v>8.2000000000000028</v>
      </c>
      <c r="CH44" s="32">
        <v>8.9000000000000057</v>
      </c>
      <c r="CI44" s="32">
        <v>5.0999999999999943</v>
      </c>
      <c r="CJ44" s="32">
        <v>5</v>
      </c>
      <c r="CK44" s="32">
        <v>5.5</v>
      </c>
      <c r="CL44" s="32">
        <v>6.2999999999999972</v>
      </c>
      <c r="CM44" s="217"/>
      <c r="CN44" s="32">
        <v>9.4000000000000057</v>
      </c>
      <c r="CO44" s="32">
        <v>8.7999999999999972</v>
      </c>
      <c r="CP44" s="32">
        <v>8.0999999999999943</v>
      </c>
      <c r="CQ44" s="32">
        <v>3.9000000000000057</v>
      </c>
      <c r="CR44" s="32">
        <v>-1.2999999999999972</v>
      </c>
      <c r="CS44" s="32">
        <v>1.2999999999999972</v>
      </c>
      <c r="CT44" s="32">
        <v>2.0999999999999943</v>
      </c>
      <c r="CU44" s="32">
        <v>3.2999999999999972</v>
      </c>
      <c r="CV44" s="32">
        <v>0.20000000000000284</v>
      </c>
      <c r="CW44" s="32">
        <v>4.7999999999999972</v>
      </c>
      <c r="CX44" s="32">
        <v>1.7999999999999972</v>
      </c>
      <c r="CY44" s="211">
        <v>5.6</v>
      </c>
      <c r="CZ44" s="217"/>
      <c r="DA44" s="217">
        <v>1.6</v>
      </c>
      <c r="DB44" s="217">
        <v>3.2</v>
      </c>
      <c r="DC44" s="217">
        <v>4.0999999999999996</v>
      </c>
      <c r="DD44" s="217">
        <v>4.4000000000000004</v>
      </c>
      <c r="DE44" s="134">
        <v>5.0999999999999996</v>
      </c>
      <c r="DF44" s="134">
        <v>1.2</v>
      </c>
      <c r="DG44" s="134">
        <v>7.2</v>
      </c>
      <c r="DH44" s="134">
        <v>4.2</v>
      </c>
      <c r="DI44" s="134">
        <v>5.0999999999999996</v>
      </c>
      <c r="DJ44" s="134">
        <v>3.7</v>
      </c>
      <c r="DK44" s="134">
        <v>0.5</v>
      </c>
      <c r="DL44" s="134">
        <v>2.2999999999999998</v>
      </c>
      <c r="DN44" s="271">
        <v>1.5</v>
      </c>
      <c r="DO44" s="271">
        <v>3.7</v>
      </c>
      <c r="DP44" s="271">
        <v>2.2000000000000002</v>
      </c>
      <c r="DQ44" s="271">
        <v>3.2</v>
      </c>
      <c r="DR44" s="271">
        <v>2.6</v>
      </c>
      <c r="DS44" s="271">
        <v>8.1999999999999993</v>
      </c>
      <c r="DT44" s="271">
        <v>3.7</v>
      </c>
      <c r="DU44" s="271">
        <v>3.7</v>
      </c>
      <c r="DV44" s="271">
        <v>2.2999999999999998</v>
      </c>
      <c r="DW44" s="271">
        <v>3.5</v>
      </c>
      <c r="DX44" s="271">
        <v>-0.5</v>
      </c>
      <c r="DY44" s="271">
        <v>0.7</v>
      </c>
      <c r="DZ44" s="271"/>
      <c r="EA44" s="271">
        <v>4.3</v>
      </c>
      <c r="EB44" s="271">
        <v>5.3</v>
      </c>
      <c r="EC44" s="271">
        <v>6.6</v>
      </c>
      <c r="ED44" s="271">
        <v>5.8</v>
      </c>
      <c r="EE44" s="271">
        <v>5.4</v>
      </c>
      <c r="EF44" s="271">
        <v>2</v>
      </c>
      <c r="EG44" s="271">
        <v>-4.2</v>
      </c>
      <c r="EH44" s="271">
        <v>-0.3</v>
      </c>
      <c r="EI44" s="271">
        <v>-2.4</v>
      </c>
      <c r="EJ44" s="271">
        <v>-7.8</v>
      </c>
      <c r="EK44" s="271">
        <v>2.2999999999999998</v>
      </c>
      <c r="EL44" s="271">
        <v>-0.1</v>
      </c>
      <c r="EN44" s="271">
        <v>6.4</v>
      </c>
      <c r="EO44" s="271">
        <v>6.4</v>
      </c>
      <c r="EP44" s="271">
        <v>6.8</v>
      </c>
      <c r="EQ44" s="271">
        <v>3.4</v>
      </c>
      <c r="ER44" s="271">
        <v>8.9</v>
      </c>
      <c r="ES44" s="271">
        <v>5.0999999999999996</v>
      </c>
      <c r="ET44" s="271">
        <v>7</v>
      </c>
      <c r="EU44" s="271"/>
      <c r="EV44" s="271"/>
      <c r="EW44" s="271"/>
      <c r="EX44" s="271"/>
      <c r="EY44" s="271"/>
    </row>
    <row r="45" spans="1:155" s="134" customFormat="1" ht="12.75" customHeight="1">
      <c r="A45" s="134" t="s">
        <v>80</v>
      </c>
      <c r="B45" s="133"/>
      <c r="C45" s="133"/>
      <c r="D45" s="133"/>
      <c r="E45" s="133"/>
      <c r="F45" s="133"/>
      <c r="G45" s="133"/>
      <c r="H45" s="133"/>
      <c r="I45" s="133"/>
      <c r="J45" s="133"/>
      <c r="K45" s="133"/>
      <c r="L45" s="133"/>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134">
        <v>5.7</v>
      </c>
      <c r="BO45" s="134">
        <v>2.6</v>
      </c>
      <c r="BP45" s="134">
        <v>5.9</v>
      </c>
      <c r="BQ45" s="40">
        <v>11</v>
      </c>
      <c r="BR45" s="134">
        <v>25.1</v>
      </c>
      <c r="BS45" s="134">
        <v>24.7</v>
      </c>
      <c r="BT45" s="134">
        <v>10.199999999999999</v>
      </c>
      <c r="BU45" s="134">
        <v>11.1</v>
      </c>
      <c r="BV45" s="40">
        <v>16.5</v>
      </c>
      <c r="BW45" s="40">
        <v>17</v>
      </c>
      <c r="BX45" s="134">
        <v>18.8</v>
      </c>
      <c r="BY45" s="134">
        <v>16</v>
      </c>
      <c r="CA45" s="217">
        <v>21.7</v>
      </c>
      <c r="CB45" s="217">
        <v>18.8</v>
      </c>
      <c r="CC45" s="217">
        <v>9.6</v>
      </c>
      <c r="CD45" s="217">
        <v>10.8</v>
      </c>
      <c r="CE45" s="217">
        <v>17</v>
      </c>
      <c r="CF45" s="217">
        <v>5.9</v>
      </c>
      <c r="CG45" s="217">
        <v>16.7</v>
      </c>
      <c r="CH45" s="217">
        <v>8.6999999999999993</v>
      </c>
      <c r="CI45" s="217">
        <v>0.3</v>
      </c>
      <c r="CJ45" s="217">
        <v>-2</v>
      </c>
      <c r="CK45" s="217">
        <v>2.9</v>
      </c>
      <c r="CL45" s="212">
        <v>7.1</v>
      </c>
      <c r="CM45" s="217"/>
      <c r="CN45" s="212">
        <v>18.8</v>
      </c>
      <c r="CO45" s="212">
        <v>13.3</v>
      </c>
      <c r="CP45" s="212">
        <v>15.4</v>
      </c>
      <c r="CQ45" s="212">
        <v>3.6</v>
      </c>
      <c r="CR45" s="212">
        <v>-7.4000000000000057</v>
      </c>
      <c r="CS45" s="212">
        <v>9.1999999999999993</v>
      </c>
      <c r="CT45" s="212">
        <v>-1.5</v>
      </c>
      <c r="CU45" s="212">
        <v>2.9</v>
      </c>
      <c r="CV45" s="217">
        <v>12.7</v>
      </c>
      <c r="CW45" s="212">
        <v>14.2</v>
      </c>
      <c r="CX45" s="212">
        <v>2.8</v>
      </c>
      <c r="CY45" s="212">
        <v>3.5</v>
      </c>
      <c r="CZ45" s="217"/>
      <c r="DA45" s="217">
        <v>-3.3</v>
      </c>
      <c r="DB45" s="217">
        <v>-5</v>
      </c>
      <c r="DC45" s="217">
        <v>-0.3</v>
      </c>
      <c r="DD45" s="217">
        <v>2.8</v>
      </c>
      <c r="DE45" s="134">
        <v>7.1</v>
      </c>
      <c r="DF45" s="134">
        <v>-1</v>
      </c>
      <c r="DG45" s="134">
        <v>9.8000000000000007</v>
      </c>
      <c r="DH45" s="134">
        <v>-2.8</v>
      </c>
      <c r="DI45" s="134">
        <v>7.5</v>
      </c>
      <c r="DJ45" s="134">
        <v>5.6</v>
      </c>
      <c r="DK45" s="134">
        <v>6.1</v>
      </c>
      <c r="DL45" s="134">
        <v>4.3</v>
      </c>
      <c r="DN45" s="271">
        <v>-6.3</v>
      </c>
      <c r="DO45" s="272">
        <v>8</v>
      </c>
      <c r="DP45" s="271">
        <v>4</v>
      </c>
      <c r="DQ45" s="271">
        <v>10.6</v>
      </c>
      <c r="DR45" s="271">
        <v>3.3</v>
      </c>
      <c r="DS45" s="271">
        <v>7.2</v>
      </c>
      <c r="DT45" s="271">
        <v>-1.2</v>
      </c>
      <c r="DU45" s="271">
        <v>9.6999999999999993</v>
      </c>
      <c r="DV45" s="271">
        <v>5.3</v>
      </c>
      <c r="DW45" s="271">
        <v>2.9</v>
      </c>
      <c r="DX45" s="271">
        <v>4.2</v>
      </c>
      <c r="DY45" s="271">
        <v>10.8</v>
      </c>
      <c r="DZ45" s="271"/>
      <c r="EA45" s="271">
        <v>14.5</v>
      </c>
      <c r="EB45" s="271">
        <v>3.6</v>
      </c>
      <c r="EC45" s="271">
        <v>6.1</v>
      </c>
      <c r="ED45" s="271">
        <v>11.5</v>
      </c>
      <c r="EE45" s="271">
        <v>9.1</v>
      </c>
      <c r="EF45" s="271">
        <v>8.9</v>
      </c>
      <c r="EG45" s="271">
        <v>2.8</v>
      </c>
      <c r="EH45" s="271">
        <v>2.4</v>
      </c>
      <c r="EI45" s="271">
        <v>6.1</v>
      </c>
      <c r="EJ45" s="271">
        <v>2.4</v>
      </c>
      <c r="EK45" s="271">
        <v>8.8000000000000007</v>
      </c>
      <c r="EL45" s="271">
        <v>5.9</v>
      </c>
      <c r="EN45" s="271">
        <v>11.1</v>
      </c>
      <c r="EO45" s="271">
        <v>19.7</v>
      </c>
      <c r="EP45" s="271">
        <v>17.2</v>
      </c>
      <c r="EQ45" s="271">
        <v>4.3</v>
      </c>
      <c r="ER45" s="271">
        <v>20</v>
      </c>
      <c r="ES45" s="271">
        <v>3.8</v>
      </c>
      <c r="ET45" s="271">
        <v>14.3</v>
      </c>
      <c r="EU45" s="271"/>
      <c r="EV45" s="271"/>
      <c r="EW45" s="271"/>
      <c r="EX45" s="271"/>
      <c r="EY45" s="271"/>
    </row>
    <row r="46" spans="1:155" s="134" customFormat="1" ht="12.75" customHeight="1">
      <c r="A46" s="134" t="s">
        <v>81</v>
      </c>
      <c r="B46" s="133"/>
      <c r="C46" s="133"/>
      <c r="D46" s="133"/>
      <c r="E46" s="133"/>
      <c r="F46" s="133"/>
      <c r="G46" s="133"/>
      <c r="H46" s="133"/>
      <c r="I46" s="133"/>
      <c r="J46" s="133"/>
      <c r="K46" s="133"/>
      <c r="L46" s="133"/>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134">
        <f>97.5-100</f>
        <v>-2.5</v>
      </c>
      <c r="BO46" s="134">
        <v>0.1</v>
      </c>
      <c r="BP46" s="40">
        <f>98-100</f>
        <v>-2</v>
      </c>
      <c r="BQ46" s="134">
        <v>0.6</v>
      </c>
      <c r="BR46" s="134">
        <v>0.1</v>
      </c>
      <c r="BS46" s="134">
        <v>10.1</v>
      </c>
      <c r="BT46" s="134">
        <v>32.4</v>
      </c>
      <c r="BU46" s="134">
        <v>21.3</v>
      </c>
      <c r="BV46" s="40">
        <v>18.600000000000001</v>
      </c>
      <c r="BW46" s="134">
        <v>7.7</v>
      </c>
      <c r="BX46" s="134">
        <v>6.2</v>
      </c>
      <c r="BY46" s="134">
        <v>2.2999999999999998</v>
      </c>
      <c r="CA46" s="217">
        <v>0.1</v>
      </c>
      <c r="CB46" s="217">
        <v>0</v>
      </c>
      <c r="CC46" s="217">
        <v>0.1</v>
      </c>
      <c r="CD46" s="217">
        <v>2.2999999999999998</v>
      </c>
      <c r="CE46" s="217">
        <v>4.4000000000000004</v>
      </c>
      <c r="CF46" s="217">
        <v>24.4</v>
      </c>
      <c r="CG46" s="217">
        <v>15.3</v>
      </c>
      <c r="CH46" s="212">
        <v>15.7</v>
      </c>
      <c r="CI46" s="212">
        <v>13.7</v>
      </c>
      <c r="CJ46" s="217">
        <v>1.4</v>
      </c>
      <c r="CK46" s="217">
        <v>9.5</v>
      </c>
      <c r="CL46" s="212">
        <v>2.8</v>
      </c>
      <c r="CM46" s="217"/>
      <c r="CN46" s="212">
        <v>2.1</v>
      </c>
      <c r="CO46" s="212">
        <v>2.2999999999999998</v>
      </c>
      <c r="CP46" s="212">
        <v>2.4</v>
      </c>
      <c r="CQ46" s="212">
        <v>2.6</v>
      </c>
      <c r="CR46" s="212">
        <v>-1.2999999999999972</v>
      </c>
      <c r="CS46" s="212">
        <v>4.4000000000000004</v>
      </c>
      <c r="CT46" s="212">
        <v>10.9</v>
      </c>
      <c r="CU46" s="212">
        <v>11.9</v>
      </c>
      <c r="CV46" s="217">
        <v>1.5</v>
      </c>
      <c r="CW46" s="217">
        <v>8.1999999999999993</v>
      </c>
      <c r="CX46" s="217">
        <v>9</v>
      </c>
      <c r="CY46" s="217">
        <v>16.399999999999999</v>
      </c>
      <c r="CZ46" s="217"/>
      <c r="DA46" s="217">
        <v>1.7</v>
      </c>
      <c r="DB46" s="217">
        <v>7.2</v>
      </c>
      <c r="DC46" s="217">
        <v>5.5</v>
      </c>
      <c r="DD46" s="217">
        <v>2.5</v>
      </c>
      <c r="DE46" s="134">
        <v>8.6</v>
      </c>
      <c r="DF46" s="134">
        <v>-8.8000000000000007</v>
      </c>
      <c r="DG46" s="134">
        <v>7</v>
      </c>
      <c r="DH46" s="134">
        <v>7.8</v>
      </c>
      <c r="DI46" s="134">
        <v>11.7</v>
      </c>
      <c r="DJ46" s="134">
        <v>4.5999999999999996</v>
      </c>
      <c r="DK46" s="134">
        <v>5.6</v>
      </c>
      <c r="DL46" s="134">
        <v>7.2</v>
      </c>
      <c r="DN46" s="271">
        <v>1.8</v>
      </c>
      <c r="DO46" s="271">
        <v>4.9000000000000004</v>
      </c>
      <c r="DP46" s="271">
        <v>5.7</v>
      </c>
      <c r="DQ46" s="271">
        <v>5.2</v>
      </c>
      <c r="DR46" s="271">
        <v>8.8000000000000007</v>
      </c>
      <c r="DS46" s="271">
        <v>38</v>
      </c>
      <c r="DT46" s="271">
        <v>15.6</v>
      </c>
      <c r="DU46" s="271">
        <v>10.8</v>
      </c>
      <c r="DV46" s="271">
        <v>6.4</v>
      </c>
      <c r="DW46" s="271">
        <v>13.2</v>
      </c>
      <c r="DX46" s="271">
        <v>11.3</v>
      </c>
      <c r="DY46" s="271">
        <v>13</v>
      </c>
      <c r="DZ46" s="271"/>
      <c r="EA46" s="271">
        <v>1.5</v>
      </c>
      <c r="EB46" s="271">
        <v>3.2</v>
      </c>
      <c r="EC46" s="271">
        <v>4.4000000000000004</v>
      </c>
      <c r="ED46" s="271">
        <v>5.4</v>
      </c>
      <c r="EE46" s="271">
        <v>5.8</v>
      </c>
      <c r="EF46" s="271">
        <v>-0.2</v>
      </c>
      <c r="EG46" s="271">
        <v>-3.8</v>
      </c>
      <c r="EH46" s="271">
        <v>9.8000000000000007</v>
      </c>
      <c r="EI46" s="271">
        <v>-19.5</v>
      </c>
      <c r="EJ46" s="271">
        <v>-29.8</v>
      </c>
      <c r="EK46" s="271">
        <v>6.3</v>
      </c>
      <c r="EL46" s="271">
        <v>6.5</v>
      </c>
      <c r="EN46" s="271">
        <v>0.2</v>
      </c>
      <c r="EO46" s="271">
        <v>0</v>
      </c>
      <c r="EP46" s="271">
        <v>-3.7</v>
      </c>
      <c r="EQ46" s="271">
        <v>-5</v>
      </c>
      <c r="ER46" s="271">
        <v>-4.8</v>
      </c>
      <c r="ES46" s="271">
        <v>3.4</v>
      </c>
      <c r="ET46" s="271">
        <v>-4.3</v>
      </c>
      <c r="EU46" s="271"/>
      <c r="EV46" s="271"/>
      <c r="EW46" s="271"/>
      <c r="EX46" s="271"/>
      <c r="EY46" s="271"/>
    </row>
    <row r="47" spans="1:155" s="134" customFormat="1" ht="13.5" customHeight="1">
      <c r="A47" s="134" t="s">
        <v>82</v>
      </c>
      <c r="B47" s="133"/>
      <c r="C47" s="133"/>
      <c r="D47" s="133"/>
      <c r="E47" s="133"/>
      <c r="F47" s="133"/>
      <c r="G47" s="133"/>
      <c r="H47" s="133"/>
      <c r="I47" s="133"/>
      <c r="J47" s="133"/>
      <c r="K47" s="133"/>
      <c r="L47" s="133"/>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134">
        <f>88.3-100</f>
        <v>-11.700000000000003</v>
      </c>
      <c r="BO47" s="134">
        <f>95.9-100</f>
        <v>-4.0999999999999943</v>
      </c>
      <c r="BP47" s="134">
        <f>94.8-100</f>
        <v>-5.2000000000000028</v>
      </c>
      <c r="BQ47" s="134">
        <v>16.899999999999999</v>
      </c>
      <c r="BR47" s="134">
        <f>94.9-100</f>
        <v>-5.0999999999999943</v>
      </c>
      <c r="BS47" s="134">
        <f>68.7-100</f>
        <v>-31.299999999999997</v>
      </c>
      <c r="BT47" s="134">
        <f>67.8-100</f>
        <v>-32.200000000000003</v>
      </c>
      <c r="BU47" s="134">
        <v>-24.700000000000003</v>
      </c>
      <c r="BV47" s="141">
        <v>-17.600000000000001</v>
      </c>
      <c r="BW47" s="141">
        <v>-16.899999999999999</v>
      </c>
      <c r="BX47" s="140">
        <v>-4.5</v>
      </c>
      <c r="BY47" s="134">
        <v>16.3</v>
      </c>
      <c r="CA47" s="217">
        <v>0.8</v>
      </c>
      <c r="CB47" s="217">
        <v>0.1</v>
      </c>
      <c r="CC47" s="217">
        <v>-9.2000000000000028</v>
      </c>
      <c r="CD47" s="217">
        <v>-0.5</v>
      </c>
      <c r="CE47" s="217">
        <v>-12.599999999999994</v>
      </c>
      <c r="CF47" s="217">
        <v>-7.5999999999999943</v>
      </c>
      <c r="CG47" s="217">
        <v>-0.5</v>
      </c>
      <c r="CH47" s="217">
        <v>-3.7999999999999972</v>
      </c>
      <c r="CI47" s="217">
        <v>5</v>
      </c>
      <c r="CJ47" s="217">
        <v>2.1</v>
      </c>
      <c r="CK47" s="217">
        <v>0.4</v>
      </c>
      <c r="CL47" s="211">
        <v>3</v>
      </c>
      <c r="CM47" s="217"/>
      <c r="CN47" s="211">
        <v>-17.599999999999994</v>
      </c>
      <c r="CO47" s="211">
        <v>-0.40000000000000568</v>
      </c>
      <c r="CP47" s="212">
        <v>-3.5</v>
      </c>
      <c r="CQ47" s="212">
        <v>-5.7999999999999972</v>
      </c>
      <c r="CR47" s="211">
        <v>-15.900000000000006</v>
      </c>
      <c r="CS47" s="211">
        <v>-8.2999999999999972</v>
      </c>
      <c r="CT47" s="211">
        <f>91.9-100</f>
        <v>-8.0999999999999943</v>
      </c>
      <c r="CU47" s="212">
        <v>-7.5</v>
      </c>
      <c r="CV47" s="217">
        <v>-11.900000000000006</v>
      </c>
      <c r="CW47" s="217">
        <f>93.1-100</f>
        <v>-6.9000000000000057</v>
      </c>
      <c r="CX47" s="217">
        <v>-7.3</v>
      </c>
      <c r="CY47" s="211">
        <v>-6.8</v>
      </c>
      <c r="CZ47" s="217"/>
      <c r="DA47" s="217">
        <v>-0.4</v>
      </c>
      <c r="DB47" s="217">
        <v>2.2999999999999998</v>
      </c>
      <c r="DC47" s="217">
        <v>0.2</v>
      </c>
      <c r="DD47" s="217">
        <v>0.6</v>
      </c>
      <c r="DE47" s="134">
        <v>0.1</v>
      </c>
      <c r="DF47" s="134">
        <v>0.3</v>
      </c>
      <c r="DG47" s="134">
        <v>0.6</v>
      </c>
      <c r="DH47" s="134">
        <v>0</v>
      </c>
      <c r="DI47" s="134">
        <v>-13</v>
      </c>
      <c r="DJ47" s="134">
        <v>-14.4</v>
      </c>
      <c r="DK47" s="134">
        <v>-10.1</v>
      </c>
      <c r="DL47" s="134">
        <v>0.2</v>
      </c>
      <c r="DN47" s="272">
        <v>3.1</v>
      </c>
      <c r="DO47" s="272">
        <v>1.2</v>
      </c>
      <c r="DP47" s="271">
        <v>-0.3</v>
      </c>
      <c r="DQ47" s="271">
        <v>0.2</v>
      </c>
      <c r="DR47" s="271">
        <v>0.2</v>
      </c>
      <c r="DS47" s="271">
        <v>1</v>
      </c>
      <c r="DT47" s="271">
        <v>-0.2</v>
      </c>
      <c r="DU47" s="271">
        <v>-0.6</v>
      </c>
      <c r="DV47" s="271">
        <v>1.8</v>
      </c>
      <c r="DW47" s="271">
        <v>1.4</v>
      </c>
      <c r="DX47" s="271">
        <v>-7.8</v>
      </c>
      <c r="DY47" s="271">
        <v>-2.5</v>
      </c>
      <c r="DZ47" s="271"/>
      <c r="EA47" s="271">
        <v>5.0999999999999996</v>
      </c>
      <c r="EB47" s="271">
        <v>0.2</v>
      </c>
      <c r="EC47" s="271">
        <v>-5.8</v>
      </c>
      <c r="ED47" s="271">
        <v>-16.5</v>
      </c>
      <c r="EE47" s="271">
        <v>-9</v>
      </c>
      <c r="EF47" s="271">
        <v>-7.7</v>
      </c>
      <c r="EG47" s="271">
        <v>-6.8</v>
      </c>
      <c r="EH47" s="271">
        <v>-7.2</v>
      </c>
      <c r="EI47" s="271">
        <v>-17.3</v>
      </c>
      <c r="EJ47" s="271">
        <v>-12.2</v>
      </c>
      <c r="EK47" s="271">
        <v>-17.5</v>
      </c>
      <c r="EL47" s="271">
        <v>-10.1</v>
      </c>
      <c r="EN47" s="271">
        <v>-5.3</v>
      </c>
      <c r="EO47" s="271">
        <v>-19.600000000000001</v>
      </c>
      <c r="EP47" s="271">
        <v>-13.5</v>
      </c>
      <c r="EQ47" s="271">
        <v>-13</v>
      </c>
      <c r="ER47" s="271">
        <v>-9.3000000000000007</v>
      </c>
      <c r="ES47" s="271">
        <v>-4.4000000000000004</v>
      </c>
      <c r="ET47" s="271">
        <v>-3.9</v>
      </c>
      <c r="EU47" s="271"/>
      <c r="EV47" s="271"/>
      <c r="EW47" s="271"/>
      <c r="EX47" s="271"/>
      <c r="EY47" s="271"/>
    </row>
    <row r="48" spans="1:155" s="134" customFormat="1" ht="13.5" customHeight="1">
      <c r="A48" s="134" t="s">
        <v>83</v>
      </c>
      <c r="B48" s="133"/>
      <c r="C48" s="133"/>
      <c r="D48" s="133"/>
      <c r="E48" s="133"/>
      <c r="F48" s="133"/>
      <c r="G48" s="133"/>
      <c r="H48" s="133"/>
      <c r="I48" s="133"/>
      <c r="J48" s="133"/>
      <c r="K48" s="133"/>
      <c r="L48" s="133"/>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40">
        <v>1</v>
      </c>
      <c r="BO48" s="134">
        <v>1.4</v>
      </c>
      <c r="BP48" s="40">
        <v>5</v>
      </c>
      <c r="BQ48" s="134">
        <v>0.2</v>
      </c>
      <c r="BR48" s="40">
        <v>2</v>
      </c>
      <c r="BS48" s="40">
        <v>6</v>
      </c>
      <c r="BT48" s="134">
        <v>5.9</v>
      </c>
      <c r="BU48" s="134">
        <v>6.9</v>
      </c>
      <c r="BV48" s="40">
        <v>1.7</v>
      </c>
      <c r="BW48" s="134">
        <v>2.8</v>
      </c>
      <c r="BX48" s="134">
        <v>3.4</v>
      </c>
      <c r="BY48" s="134">
        <v>6.7</v>
      </c>
      <c r="CA48" s="217">
        <v>0.1</v>
      </c>
      <c r="CB48" s="217">
        <v>1.2</v>
      </c>
      <c r="CC48" s="217">
        <v>0.1</v>
      </c>
      <c r="CD48" s="217">
        <v>2.5</v>
      </c>
      <c r="CE48" s="217">
        <v>5.0999999999999996</v>
      </c>
      <c r="CF48" s="217">
        <v>5.6</v>
      </c>
      <c r="CG48" s="217">
        <v>5.8</v>
      </c>
      <c r="CH48" s="217">
        <v>1.6</v>
      </c>
      <c r="CI48" s="217">
        <v>3.9</v>
      </c>
      <c r="CJ48" s="217">
        <v>4.9000000000000004</v>
      </c>
      <c r="CK48" s="217">
        <v>4.7</v>
      </c>
      <c r="CL48" s="212">
        <v>4.8</v>
      </c>
      <c r="CM48" s="217"/>
      <c r="CN48" s="212">
        <v>5.7</v>
      </c>
      <c r="CO48" s="212">
        <v>7.5</v>
      </c>
      <c r="CP48" s="212">
        <v>6.1</v>
      </c>
      <c r="CQ48" s="212">
        <v>2.6</v>
      </c>
      <c r="CR48" s="212">
        <v>0.5</v>
      </c>
      <c r="CS48" s="212">
        <v>0.1</v>
      </c>
      <c r="CT48" s="211">
        <v>0</v>
      </c>
      <c r="CU48" s="212">
        <v>-1.0999999999999943</v>
      </c>
      <c r="CV48" s="217">
        <v>-0.90000000000000568</v>
      </c>
      <c r="CW48" s="217">
        <v>0.1</v>
      </c>
      <c r="CX48" s="217">
        <v>0.2</v>
      </c>
      <c r="CY48" s="211">
        <v>-0.2</v>
      </c>
      <c r="CZ48" s="217"/>
      <c r="DA48" s="217">
        <v>4.5999999999999996</v>
      </c>
      <c r="DB48" s="217">
        <v>4.2</v>
      </c>
      <c r="DC48" s="217">
        <v>4.5999999999999996</v>
      </c>
      <c r="DD48" s="217">
        <v>6.8</v>
      </c>
      <c r="DE48" s="134">
        <v>4.9000000000000004</v>
      </c>
      <c r="DF48" s="134">
        <v>7.6</v>
      </c>
      <c r="DG48" s="134">
        <v>5.7</v>
      </c>
      <c r="DH48" s="134">
        <v>6.1</v>
      </c>
      <c r="DI48" s="134">
        <v>2.4</v>
      </c>
      <c r="DJ48" s="134">
        <v>2.2000000000000002</v>
      </c>
      <c r="DK48" s="134">
        <v>-1.2</v>
      </c>
      <c r="DL48" s="134">
        <v>-13.3</v>
      </c>
      <c r="DN48" s="271">
        <v>-7.4</v>
      </c>
      <c r="DO48" s="271">
        <v>-6.4</v>
      </c>
      <c r="DP48" s="271">
        <v>-5.3</v>
      </c>
      <c r="DQ48" s="271">
        <v>-11</v>
      </c>
      <c r="DR48" s="271">
        <v>-8.4</v>
      </c>
      <c r="DS48" s="271">
        <v>-2.8</v>
      </c>
      <c r="DT48" s="271">
        <v>-2.8</v>
      </c>
      <c r="DU48" s="271">
        <v>-9.1</v>
      </c>
      <c r="DV48" s="271">
        <v>-10.9</v>
      </c>
      <c r="DW48" s="271">
        <v>-11.2</v>
      </c>
      <c r="DX48" s="271">
        <v>-14.2</v>
      </c>
      <c r="DY48" s="271">
        <v>-14.1</v>
      </c>
      <c r="DZ48" s="271"/>
      <c r="EA48" s="271">
        <v>-2.5</v>
      </c>
      <c r="EB48" s="271">
        <v>-0.7</v>
      </c>
      <c r="EC48" s="271">
        <v>0.2</v>
      </c>
      <c r="ED48" s="271">
        <v>0.7</v>
      </c>
      <c r="EE48" s="271">
        <v>1.3</v>
      </c>
      <c r="EF48" s="271">
        <v>-0.2</v>
      </c>
      <c r="EG48" s="271">
        <v>-0.7</v>
      </c>
      <c r="EH48" s="271">
        <v>-0.1</v>
      </c>
      <c r="EI48" s="271">
        <v>-0.01</v>
      </c>
      <c r="EJ48" s="271">
        <v>0.4</v>
      </c>
      <c r="EK48" s="271">
        <v>3.8</v>
      </c>
      <c r="EL48" s="271">
        <v>4.4000000000000004</v>
      </c>
      <c r="EN48" s="271">
        <v>9.1999999999999993</v>
      </c>
      <c r="EO48" s="271">
        <v>10.3</v>
      </c>
      <c r="EP48" s="271">
        <v>13.7</v>
      </c>
      <c r="EQ48" s="271">
        <v>14.2</v>
      </c>
      <c r="ER48" s="271">
        <v>15</v>
      </c>
      <c r="ES48" s="271">
        <v>11.9</v>
      </c>
      <c r="ET48" s="271">
        <v>10.5</v>
      </c>
      <c r="EU48" s="271"/>
      <c r="EV48" s="271"/>
      <c r="EW48" s="271"/>
      <c r="EX48" s="271"/>
      <c r="EY48" s="271"/>
    </row>
    <row r="49" spans="1:155" s="134" customFormat="1" ht="13.5" customHeight="1">
      <c r="A49" s="134" t="s">
        <v>84</v>
      </c>
      <c r="B49" s="133"/>
      <c r="C49" s="133"/>
      <c r="D49" s="133"/>
      <c r="E49" s="133"/>
      <c r="F49" s="133"/>
      <c r="G49" s="133"/>
      <c r="H49" s="133"/>
      <c r="I49" s="133"/>
      <c r="J49" s="133"/>
      <c r="K49" s="133"/>
      <c r="L49" s="133"/>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134">
        <v>24.4</v>
      </c>
      <c r="BO49" s="134">
        <v>6.3</v>
      </c>
      <c r="BP49" s="134">
        <f>92.6-100</f>
        <v>-7.4000000000000057</v>
      </c>
      <c r="BQ49" s="134">
        <v>9.3000000000000007</v>
      </c>
      <c r="BR49" s="134">
        <v>5.6</v>
      </c>
      <c r="BS49" s="134">
        <v>4.0999999999999996</v>
      </c>
      <c r="BT49" s="134">
        <v>5.3</v>
      </c>
      <c r="BU49" s="134">
        <v>4.3</v>
      </c>
      <c r="BV49" s="40">
        <v>3.5</v>
      </c>
      <c r="BW49" s="140">
        <v>7.2</v>
      </c>
      <c r="BX49" s="134">
        <v>4.4000000000000004</v>
      </c>
      <c r="BY49" s="134">
        <v>8.6999999999999993</v>
      </c>
      <c r="CA49" s="217">
        <v>9.9</v>
      </c>
      <c r="CB49" s="217">
        <v>11.4</v>
      </c>
      <c r="CC49" s="217">
        <v>13.5</v>
      </c>
      <c r="CD49" s="217">
        <v>7.2</v>
      </c>
      <c r="CE49" s="212">
        <v>12.7</v>
      </c>
      <c r="CF49" s="212">
        <v>21.1</v>
      </c>
      <c r="CG49" s="212">
        <v>7.4</v>
      </c>
      <c r="CH49" s="212">
        <v>8.4</v>
      </c>
      <c r="CI49" s="212">
        <v>9.5</v>
      </c>
      <c r="CJ49" s="212">
        <v>9.8000000000000007</v>
      </c>
      <c r="CK49" s="212">
        <v>10.7</v>
      </c>
      <c r="CL49" s="212">
        <v>8.6999999999999993</v>
      </c>
      <c r="CM49" s="217"/>
      <c r="CN49" s="212">
        <v>7.5</v>
      </c>
      <c r="CO49" s="212">
        <v>8.1</v>
      </c>
      <c r="CP49" s="212">
        <v>5.7</v>
      </c>
      <c r="CQ49" s="212">
        <v>7.4</v>
      </c>
      <c r="CR49" s="212">
        <v>1.1000000000000001</v>
      </c>
      <c r="CS49" s="212">
        <v>-1.5</v>
      </c>
      <c r="CT49" s="212">
        <v>0.7</v>
      </c>
      <c r="CU49" s="212">
        <v>-0.70000000000000284</v>
      </c>
      <c r="CV49" s="217">
        <v>0.4</v>
      </c>
      <c r="CW49" s="217">
        <v>2.1</v>
      </c>
      <c r="CX49" s="217">
        <v>4</v>
      </c>
      <c r="CY49" s="211">
        <v>10.8</v>
      </c>
      <c r="CZ49" s="217"/>
      <c r="DA49" s="217">
        <v>1.9</v>
      </c>
      <c r="DB49" s="217">
        <v>5.8</v>
      </c>
      <c r="DC49" s="217">
        <v>2.8</v>
      </c>
      <c r="DD49" s="217">
        <v>0.9</v>
      </c>
      <c r="DE49" s="134">
        <v>4.0999999999999996</v>
      </c>
      <c r="DF49" s="134">
        <v>7.5</v>
      </c>
      <c r="DG49" s="134">
        <v>14</v>
      </c>
      <c r="DH49" s="134">
        <v>11.2</v>
      </c>
      <c r="DI49" s="134">
        <v>10.8</v>
      </c>
      <c r="DJ49" s="134">
        <v>10.4</v>
      </c>
      <c r="DK49" s="134">
        <v>5.9</v>
      </c>
      <c r="DL49" s="134">
        <v>13.8</v>
      </c>
      <c r="DN49" s="271">
        <v>3.8</v>
      </c>
      <c r="DO49" s="271">
        <v>5.3</v>
      </c>
      <c r="DP49" s="271">
        <v>2.8</v>
      </c>
      <c r="DQ49" s="271">
        <v>0.7</v>
      </c>
      <c r="DR49" s="271">
        <v>3</v>
      </c>
      <c r="DS49" s="271">
        <v>1.5</v>
      </c>
      <c r="DT49" s="271">
        <v>0.5</v>
      </c>
      <c r="DU49" s="271">
        <v>1.1000000000000001</v>
      </c>
      <c r="DV49" s="271">
        <v>4.0999999999999996</v>
      </c>
      <c r="DW49" s="271">
        <v>5.9</v>
      </c>
      <c r="DX49" s="271">
        <v>4.8</v>
      </c>
      <c r="DY49" s="271">
        <v>0</v>
      </c>
      <c r="DZ49" s="271"/>
      <c r="EA49" s="271">
        <v>10.199999999999999</v>
      </c>
      <c r="EB49" s="271">
        <v>9.9</v>
      </c>
      <c r="EC49" s="271">
        <v>10.4</v>
      </c>
      <c r="ED49" s="271">
        <v>7.8</v>
      </c>
      <c r="EE49" s="271">
        <v>5.9</v>
      </c>
      <c r="EF49" s="271">
        <v>6.6</v>
      </c>
      <c r="EG49" s="271">
        <v>4.0999999999999996</v>
      </c>
      <c r="EH49" s="271">
        <v>10.5</v>
      </c>
      <c r="EI49" s="271">
        <v>8.6</v>
      </c>
      <c r="EJ49" s="271">
        <v>4.9000000000000004</v>
      </c>
      <c r="EK49" s="271">
        <v>8.6999999999999993</v>
      </c>
      <c r="EL49" s="271">
        <v>-0.6</v>
      </c>
      <c r="EN49" s="271">
        <v>12.3</v>
      </c>
      <c r="EO49" s="271">
        <v>9.6999999999999993</v>
      </c>
      <c r="EP49" s="271">
        <v>8.4</v>
      </c>
      <c r="EQ49" s="271">
        <v>10.4</v>
      </c>
      <c r="ER49" s="271">
        <v>14.3</v>
      </c>
      <c r="ES49" s="271">
        <v>10.1</v>
      </c>
      <c r="ET49" s="271">
        <v>17.2</v>
      </c>
      <c r="EU49" s="271"/>
      <c r="EV49" s="271"/>
      <c r="EW49" s="271"/>
      <c r="EX49" s="271"/>
      <c r="EY49" s="271"/>
    </row>
    <row r="50" spans="1:155" ht="6" customHeight="1">
      <c r="A50" s="94"/>
      <c r="B50" s="94"/>
      <c r="C50" s="94"/>
      <c r="D50" s="94"/>
      <c r="E50" s="94"/>
      <c r="F50" s="94"/>
      <c r="G50" s="94"/>
      <c r="H50" s="94"/>
      <c r="I50" s="94"/>
      <c r="J50" s="94"/>
      <c r="K50" s="94"/>
      <c r="L50" s="94"/>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CA50" s="212"/>
      <c r="CB50" s="212"/>
      <c r="CC50" s="212"/>
      <c r="CD50" s="212"/>
      <c r="CE50" s="212"/>
      <c r="CF50" s="212"/>
      <c r="CG50" s="212"/>
      <c r="CH50" s="212"/>
      <c r="CI50" s="212"/>
      <c r="CJ50" s="212"/>
      <c r="CK50" s="212"/>
      <c r="CL50" s="212"/>
      <c r="CM50" s="212"/>
      <c r="CN50" s="212"/>
      <c r="CO50" s="212"/>
      <c r="CP50" s="212"/>
      <c r="CQ50" s="212"/>
      <c r="CR50" s="212"/>
      <c r="CS50" s="212"/>
      <c r="CT50" s="212"/>
      <c r="CU50" s="212"/>
      <c r="CV50" s="212"/>
      <c r="CW50" s="212"/>
      <c r="CX50" s="212"/>
      <c r="CY50" s="212"/>
      <c r="CZ50" s="212"/>
      <c r="DA50" s="212"/>
      <c r="DB50" s="212"/>
      <c r="DC50" s="212"/>
      <c r="DD50" s="212"/>
    </row>
    <row r="51" spans="1:155" ht="12.75" customHeight="1">
      <c r="A51" s="298" t="s">
        <v>107</v>
      </c>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8"/>
      <c r="BR51" s="298"/>
      <c r="BS51" s="298"/>
      <c r="BT51" s="298"/>
      <c r="BU51" s="298"/>
      <c r="BV51" s="298"/>
      <c r="BW51" s="298"/>
      <c r="BX51" s="298"/>
      <c r="BY51" s="298"/>
      <c r="BZ51" s="298"/>
      <c r="CA51" s="298"/>
      <c r="CB51" s="298"/>
      <c r="CC51" s="298"/>
      <c r="CD51" s="298"/>
      <c r="CE51" s="298"/>
      <c r="CF51" s="298"/>
      <c r="CG51" s="298"/>
      <c r="CH51" s="298"/>
      <c r="CI51" s="298"/>
      <c r="CJ51" s="298"/>
      <c r="CK51" s="298"/>
      <c r="CL51" s="298"/>
      <c r="CM51" s="298"/>
      <c r="CN51" s="298"/>
      <c r="CO51" s="298"/>
      <c r="CP51" s="298"/>
      <c r="CQ51" s="298"/>
      <c r="CR51" s="298"/>
      <c r="CS51" s="298"/>
      <c r="CT51" s="298"/>
      <c r="CU51" s="298"/>
      <c r="CV51" s="298"/>
      <c r="CW51" s="298"/>
      <c r="CX51" s="298"/>
      <c r="CY51" s="298"/>
      <c r="CZ51" s="298"/>
      <c r="DA51" s="298"/>
      <c r="DB51" s="298"/>
      <c r="DC51" s="298"/>
      <c r="DD51" s="298"/>
      <c r="DE51" s="298"/>
      <c r="DF51" s="298"/>
      <c r="DG51" s="298"/>
      <c r="DH51" s="298"/>
      <c r="DI51" s="298"/>
      <c r="DJ51" s="298"/>
      <c r="DK51" s="298"/>
      <c r="DL51" s="298"/>
      <c r="DM51" s="298"/>
      <c r="DN51" s="298"/>
      <c r="DO51" s="298"/>
      <c r="DP51" s="298"/>
      <c r="DQ51" s="298"/>
      <c r="DR51" s="298"/>
      <c r="DS51" s="298"/>
      <c r="DT51" s="298"/>
      <c r="DU51" s="298"/>
      <c r="DV51" s="298"/>
      <c r="DW51" s="298"/>
      <c r="DX51" s="298"/>
      <c r="DY51" s="298"/>
      <c r="DZ51" s="298"/>
      <c r="EA51" s="298"/>
      <c r="EB51" s="298"/>
      <c r="EC51" s="298"/>
      <c r="ED51" s="298"/>
      <c r="EE51" s="298"/>
      <c r="EF51" s="298"/>
      <c r="EG51" s="298"/>
      <c r="EH51" s="298"/>
      <c r="EI51" s="298"/>
      <c r="EJ51" s="298"/>
      <c r="EK51" s="298"/>
      <c r="EL51" s="298"/>
      <c r="EM51" s="298"/>
      <c r="EN51" s="298"/>
      <c r="EO51" s="298"/>
      <c r="EP51" s="298"/>
      <c r="EQ51" s="298"/>
      <c r="ER51" s="298"/>
      <c r="ES51" s="298"/>
      <c r="ET51" s="298"/>
      <c r="EU51" s="298"/>
      <c r="EV51" s="298"/>
      <c r="EW51" s="298"/>
      <c r="EX51" s="298"/>
      <c r="EY51" s="298"/>
    </row>
    <row r="52" spans="1:155" ht="6" customHeight="1">
      <c r="A52" s="115"/>
      <c r="B52" s="115"/>
      <c r="C52" s="115"/>
      <c r="D52" s="115"/>
      <c r="E52" s="115"/>
      <c r="F52" s="115"/>
      <c r="G52" s="115"/>
      <c r="H52" s="115"/>
      <c r="I52" s="115"/>
      <c r="J52" s="115"/>
      <c r="K52" s="115"/>
      <c r="L52" s="115"/>
      <c r="M52" s="115"/>
      <c r="N52" s="114"/>
      <c r="O52" s="114"/>
      <c r="P52" s="114"/>
      <c r="Q52" s="114"/>
      <c r="R52" s="114"/>
      <c r="S52" s="114"/>
      <c r="T52" s="114"/>
      <c r="U52" s="114"/>
      <c r="V52" s="114"/>
      <c r="W52" s="114"/>
      <c r="X52" s="114"/>
      <c r="Y52" s="114"/>
      <c r="AA52" s="87"/>
      <c r="AB52" s="87"/>
      <c r="AC52" s="87"/>
      <c r="AD52" s="87"/>
      <c r="AE52" s="87"/>
      <c r="AF52" s="87"/>
      <c r="AG52" s="87"/>
      <c r="AH52" s="87"/>
      <c r="AI52" s="87"/>
      <c r="AJ52" s="87"/>
      <c r="AK52" s="87"/>
      <c r="AL52" s="87"/>
      <c r="AM52" s="87"/>
      <c r="AN52" s="87"/>
      <c r="AO52" s="87"/>
      <c r="AP52" s="87"/>
      <c r="AQ52" s="87"/>
      <c r="CE52" s="38"/>
      <c r="CF52" s="38"/>
      <c r="CG52" s="38"/>
      <c r="CH52" s="38"/>
      <c r="DL52" s="143"/>
    </row>
    <row r="53" spans="1:155" ht="12.75" customHeight="1">
      <c r="A53" s="251" t="s">
        <v>118</v>
      </c>
      <c r="B53" s="117"/>
      <c r="C53" s="117"/>
      <c r="D53" s="117"/>
      <c r="E53" s="117"/>
      <c r="F53" s="117"/>
      <c r="G53" s="117"/>
      <c r="H53" s="117"/>
      <c r="I53" s="117"/>
      <c r="J53" s="117"/>
      <c r="K53" s="117"/>
      <c r="L53" s="117"/>
      <c r="M53" s="117"/>
      <c r="N53" s="38"/>
      <c r="O53" s="38"/>
      <c r="P53" s="38">
        <v>12.098002157333013</v>
      </c>
      <c r="Q53" s="38"/>
      <c r="R53" s="38"/>
      <c r="S53" s="38">
        <v>10.865029873201195</v>
      </c>
      <c r="T53" s="38"/>
      <c r="U53" s="38"/>
      <c r="V53" s="38">
        <v>13.159870396821873</v>
      </c>
      <c r="W53" s="38"/>
      <c r="X53" s="38"/>
      <c r="Y53" s="38">
        <v>13.749201958384162</v>
      </c>
      <c r="AA53" s="87"/>
      <c r="AB53" s="87"/>
      <c r="AC53" s="38">
        <v>13.009502510340639</v>
      </c>
      <c r="AD53" s="87"/>
      <c r="AE53" s="87"/>
      <c r="AF53" s="87">
        <v>10.908098488599521</v>
      </c>
      <c r="AG53" s="87"/>
      <c r="AH53" s="38"/>
      <c r="AI53" s="87">
        <v>13.055096644297251</v>
      </c>
      <c r="AJ53" s="38"/>
      <c r="AK53" s="87"/>
      <c r="AL53" s="38">
        <v>6.9476535519159484</v>
      </c>
      <c r="AM53" s="87"/>
      <c r="AN53" s="87"/>
      <c r="AO53" s="87"/>
      <c r="AP53" s="87">
        <v>-6.304359813814969</v>
      </c>
      <c r="AQ53" s="87"/>
      <c r="AR53" s="87"/>
      <c r="AS53" s="87">
        <v>-13.783598339033176</v>
      </c>
      <c r="AT53" s="87"/>
      <c r="AU53" s="87"/>
      <c r="AV53" s="87">
        <v>-16.689101165811593</v>
      </c>
      <c r="AW53" s="87"/>
      <c r="AX53" s="38"/>
      <c r="AY53" s="87">
        <v>-14.149988638617089</v>
      </c>
      <c r="BC53" s="38">
        <v>3.3571006445649516</v>
      </c>
      <c r="BD53" s="38"/>
      <c r="BE53" s="38"/>
      <c r="BF53" s="38">
        <v>6.1312675496419899</v>
      </c>
      <c r="BG53" s="38"/>
      <c r="BI53" s="38">
        <v>1.9659663294998353</v>
      </c>
      <c r="BL53" s="38">
        <v>2.0963658916920025</v>
      </c>
      <c r="BO53" s="38"/>
      <c r="BP53" s="34"/>
      <c r="BQ53" s="143"/>
      <c r="BR53" s="143"/>
      <c r="BS53" s="34"/>
      <c r="BT53" s="143"/>
      <c r="BU53" s="143"/>
      <c r="BV53" s="34"/>
      <c r="BW53" s="143"/>
      <c r="BX53" s="143"/>
      <c r="BY53" s="86">
        <v>4.7000000000000028</v>
      </c>
      <c r="CB53" s="38"/>
      <c r="CL53" s="49">
        <v>7.2000000000000028</v>
      </c>
      <c r="CP53" s="86">
        <v>7.5</v>
      </c>
      <c r="CS53" s="86">
        <v>0.59999999999999432</v>
      </c>
      <c r="CV53" s="212">
        <v>1.6</v>
      </c>
      <c r="CW53" s="212"/>
      <c r="CX53" s="212"/>
      <c r="CY53" s="212">
        <v>5.2000000000000028</v>
      </c>
      <c r="DC53" s="212">
        <v>3.0999999999999943</v>
      </c>
      <c r="DF53" s="212">
        <v>2.2999999999999972</v>
      </c>
      <c r="DG53" s="212"/>
      <c r="DH53" s="212"/>
      <c r="DI53" s="212">
        <v>5.2999999999999972</v>
      </c>
      <c r="DL53" s="212">
        <v>2.5999999999999943</v>
      </c>
      <c r="DP53" s="211">
        <v>2.5</v>
      </c>
      <c r="DQ53" s="212"/>
      <c r="DR53" s="212"/>
      <c r="DS53" s="212">
        <v>4.5</v>
      </c>
      <c r="DT53" s="212"/>
      <c r="DU53" s="212"/>
      <c r="DV53" s="211">
        <v>3.2000000000000028</v>
      </c>
      <c r="DY53" s="38">
        <v>1.9000000000000057</v>
      </c>
      <c r="DZ53" s="38"/>
      <c r="EA53" s="38"/>
      <c r="EB53" s="38"/>
      <c r="EC53" s="38">
        <v>4.7000000000000028</v>
      </c>
      <c r="ED53" s="38"/>
      <c r="EE53" s="38"/>
      <c r="EF53" s="38">
        <v>2.5999999999999943</v>
      </c>
      <c r="EG53" s="38"/>
      <c r="EH53" s="38"/>
      <c r="EI53" s="38">
        <v>-2.5999999999999943</v>
      </c>
      <c r="EJ53" s="38"/>
      <c r="EK53" s="38"/>
      <c r="EL53" s="38">
        <v>-1</v>
      </c>
      <c r="EP53" s="86">
        <v>6.5</v>
      </c>
      <c r="ES53" s="86">
        <v>5.5</v>
      </c>
    </row>
    <row r="54" spans="1:155" ht="12.75" customHeight="1">
      <c r="A54" s="117" t="s">
        <v>29</v>
      </c>
      <c r="B54" s="119"/>
      <c r="C54" s="119"/>
      <c r="D54" s="119"/>
      <c r="E54" s="119"/>
      <c r="F54" s="119"/>
      <c r="G54" s="119"/>
      <c r="H54" s="119"/>
      <c r="I54" s="119"/>
      <c r="J54" s="119"/>
      <c r="K54" s="119"/>
      <c r="L54" s="119"/>
      <c r="M54" s="119"/>
      <c r="N54" s="38"/>
      <c r="O54" s="38"/>
      <c r="P54" s="38">
        <v>27.278472532380533</v>
      </c>
      <c r="Q54" s="38"/>
      <c r="R54" s="38"/>
      <c r="S54" s="38">
        <v>27.99888808607129</v>
      </c>
      <c r="T54" s="38"/>
      <c r="U54" s="38"/>
      <c r="V54" s="38">
        <v>31.507239156752462</v>
      </c>
      <c r="W54" s="38"/>
      <c r="X54" s="38"/>
      <c r="Y54" s="38">
        <v>35.918837421526064</v>
      </c>
      <c r="AA54" s="87"/>
      <c r="AB54" s="87"/>
      <c r="AC54" s="38">
        <v>31.598360795000815</v>
      </c>
      <c r="AD54" s="87"/>
      <c r="AE54" s="87"/>
      <c r="AF54" s="87">
        <v>30.572114549274175</v>
      </c>
      <c r="AG54" s="87"/>
      <c r="AH54" s="38"/>
      <c r="AI54" s="87">
        <v>23.707929700961046</v>
      </c>
      <c r="AJ54" s="38"/>
      <c r="AK54" s="87"/>
      <c r="AL54" s="38">
        <v>17.080723984711057</v>
      </c>
      <c r="AM54" s="87"/>
      <c r="AN54" s="87"/>
      <c r="AO54" s="87"/>
      <c r="AP54" s="87">
        <v>-17.756121249171144</v>
      </c>
      <c r="AQ54" s="87"/>
      <c r="AR54" s="87"/>
      <c r="AS54" s="87">
        <v>-24.124374773134164</v>
      </c>
      <c r="AT54" s="87"/>
      <c r="AU54" s="87"/>
      <c r="AV54" s="87">
        <v>-23.345965539159266</v>
      </c>
      <c r="AW54" s="87"/>
      <c r="AY54" s="87">
        <v>-22.524521796288653</v>
      </c>
      <c r="BC54" s="38">
        <v>8.0130015112297031</v>
      </c>
      <c r="BD54" s="38"/>
      <c r="BE54" s="38"/>
      <c r="BF54" s="38">
        <v>20.747652780880216</v>
      </c>
      <c r="BG54" s="38"/>
      <c r="BI54" s="38">
        <v>15.745508837170718</v>
      </c>
      <c r="BL54" s="38">
        <v>9.1744526225673582</v>
      </c>
      <c r="BN54" s="38"/>
      <c r="BO54" s="38"/>
      <c r="BP54" s="34"/>
      <c r="BQ54" s="143"/>
      <c r="BR54" s="143"/>
      <c r="BS54" s="34"/>
      <c r="BT54" s="143"/>
      <c r="BU54" s="143"/>
      <c r="BV54" s="34"/>
      <c r="BW54" s="143"/>
      <c r="BX54" s="143"/>
      <c r="BY54" s="86">
        <v>3.7999999999999972</v>
      </c>
      <c r="CB54" s="38"/>
      <c r="CL54" s="49">
        <v>9.9000000000000057</v>
      </c>
      <c r="CP54" s="86">
        <v>8.4000000000000057</v>
      </c>
      <c r="CS54" s="86">
        <v>0.29999999999999716</v>
      </c>
      <c r="CV54" s="86">
        <v>1.5</v>
      </c>
      <c r="CY54" s="86">
        <v>2.7999999999999972</v>
      </c>
      <c r="DC54" s="86">
        <v>-9.9999999999994316E-2</v>
      </c>
      <c r="DF54" s="212">
        <v>4.2000000000000028</v>
      </c>
      <c r="DG54" s="212"/>
      <c r="DH54" s="212"/>
      <c r="DI54" s="212">
        <v>3.2000000000000028</v>
      </c>
      <c r="DL54" s="86">
        <v>-3.7999999999999972</v>
      </c>
      <c r="DP54" s="211">
        <v>-2.9000000000000057</v>
      </c>
      <c r="DQ54" s="212"/>
      <c r="DR54" s="212"/>
      <c r="DS54" s="212">
        <v>-8.9000000000000057</v>
      </c>
      <c r="DT54" s="212"/>
      <c r="DU54" s="212"/>
      <c r="DV54" s="211">
        <v>-2.9000000000000057</v>
      </c>
      <c r="DY54" s="38">
        <v>-5.5999999999999943</v>
      </c>
      <c r="DZ54" s="38"/>
      <c r="EA54" s="38"/>
      <c r="EB54" s="38"/>
      <c r="EC54" s="38">
        <v>-8.5</v>
      </c>
      <c r="ED54" s="38"/>
      <c r="EE54" s="38"/>
      <c r="EF54" s="38">
        <v>-2.5</v>
      </c>
      <c r="EG54" s="38"/>
      <c r="EH54" s="38"/>
      <c r="EI54" s="38">
        <v>-12.5</v>
      </c>
      <c r="EJ54" s="38"/>
      <c r="EK54" s="38"/>
      <c r="EL54" s="38">
        <v>5.9000000000000057</v>
      </c>
      <c r="EP54" s="86">
        <v>10.799999999999997</v>
      </c>
      <c r="ES54" s="86">
        <v>6.7000000000000028</v>
      </c>
    </row>
    <row r="55" spans="1:155" ht="12.75" customHeight="1">
      <c r="A55" s="117" t="s">
        <v>30</v>
      </c>
      <c r="B55" s="117"/>
      <c r="C55" s="117"/>
      <c r="D55" s="117"/>
      <c r="E55" s="117"/>
      <c r="F55" s="117"/>
      <c r="G55" s="117"/>
      <c r="H55" s="117"/>
      <c r="I55" s="117"/>
      <c r="J55" s="117"/>
      <c r="K55" s="117"/>
      <c r="L55" s="117"/>
      <c r="M55" s="117"/>
      <c r="N55" s="38"/>
      <c r="O55" s="38"/>
      <c r="P55" s="38">
        <v>9.9221465442546446</v>
      </c>
      <c r="Q55" s="38"/>
      <c r="R55" s="38"/>
      <c r="S55" s="38">
        <v>8.9320464296385893</v>
      </c>
      <c r="T55" s="38"/>
      <c r="U55" s="38"/>
      <c r="V55" s="38">
        <v>11.438442550677379</v>
      </c>
      <c r="W55" s="38"/>
      <c r="X55" s="38"/>
      <c r="Y55" s="38">
        <v>11.693384079722534</v>
      </c>
      <c r="AA55" s="87"/>
      <c r="AB55" s="87"/>
      <c r="AC55" s="38">
        <v>9.9982412968275298</v>
      </c>
      <c r="AD55" s="87"/>
      <c r="AE55" s="87"/>
      <c r="AF55" s="87">
        <v>8.3625816490631593</v>
      </c>
      <c r="AG55" s="87"/>
      <c r="AH55" s="38"/>
      <c r="AI55" s="87">
        <v>11.898663292385663</v>
      </c>
      <c r="AJ55" s="38"/>
      <c r="AK55" s="87"/>
      <c r="AL55" s="38">
        <v>5.8192944132784845</v>
      </c>
      <c r="AM55" s="87"/>
      <c r="AN55" s="87"/>
      <c r="AO55" s="87"/>
      <c r="AP55" s="87">
        <v>-4.1357125802059755</v>
      </c>
      <c r="AQ55" s="87"/>
      <c r="AR55" s="87"/>
      <c r="AS55" s="87">
        <v>-12.125990986657669</v>
      </c>
      <c r="AT55" s="87"/>
      <c r="AU55" s="87"/>
      <c r="AV55" s="87">
        <v>-15.828967250371235</v>
      </c>
      <c r="AW55" s="87"/>
      <c r="AY55" s="87">
        <v>-13.076922323000645</v>
      </c>
      <c r="BA55" s="38"/>
      <c r="BC55" s="38">
        <v>2.6022471074440574</v>
      </c>
      <c r="BD55" s="38"/>
      <c r="BE55" s="38"/>
      <c r="BF55" s="38">
        <v>4.1020306255034313</v>
      </c>
      <c r="BG55" s="38"/>
      <c r="BI55" s="38">
        <v>0.28893390099409544</v>
      </c>
      <c r="BJ55" s="38"/>
      <c r="BL55" s="38">
        <v>1.2584292654034499</v>
      </c>
      <c r="BN55" s="38"/>
      <c r="BO55" s="38"/>
      <c r="BP55" s="34"/>
      <c r="BQ55" s="143"/>
      <c r="BR55" s="143"/>
      <c r="BS55" s="34"/>
      <c r="BT55" s="143"/>
      <c r="BU55" s="143"/>
      <c r="BV55" s="34"/>
      <c r="BW55" s="143"/>
      <c r="BX55" s="143"/>
      <c r="BY55" s="86">
        <v>4.7999999999999972</v>
      </c>
      <c r="CB55" s="38"/>
      <c r="CL55" s="49">
        <v>6.7999999999999972</v>
      </c>
      <c r="CP55" s="86">
        <v>7.2999999999999972</v>
      </c>
      <c r="CS55" s="86">
        <v>0.59999999999999432</v>
      </c>
      <c r="CV55" s="86">
        <v>1.7</v>
      </c>
      <c r="CY55" s="86">
        <v>5.5999999999999943</v>
      </c>
      <c r="DC55" s="86">
        <v>3.5</v>
      </c>
      <c r="DF55" s="212">
        <v>2</v>
      </c>
      <c r="DG55" s="212"/>
      <c r="DH55" s="212"/>
      <c r="DI55" s="212">
        <v>5.7000000000000028</v>
      </c>
      <c r="DL55" s="86">
        <v>3.4000000000000057</v>
      </c>
      <c r="DP55" s="211">
        <v>3.2000000000000028</v>
      </c>
      <c r="DQ55" s="212"/>
      <c r="DR55" s="212"/>
      <c r="DS55" s="212">
        <v>6.4000000000000057</v>
      </c>
      <c r="DT55" s="212"/>
      <c r="DU55" s="212"/>
      <c r="DV55" s="211">
        <v>4</v>
      </c>
      <c r="DY55" s="38">
        <v>2.7999999999999972</v>
      </c>
      <c r="DZ55" s="38"/>
      <c r="EA55" s="38"/>
      <c r="EB55" s="38"/>
      <c r="EC55" s="38">
        <v>6.5999999999999943</v>
      </c>
      <c r="ED55" s="38"/>
      <c r="EE55" s="38"/>
      <c r="EF55" s="38">
        <v>3.2000000000000028</v>
      </c>
      <c r="EG55" s="38"/>
      <c r="EH55" s="38"/>
      <c r="EI55" s="38">
        <v>-1.5</v>
      </c>
      <c r="EJ55" s="38"/>
      <c r="EK55" s="38"/>
      <c r="EL55" s="38">
        <v>-1.7999999999999972</v>
      </c>
      <c r="EP55" s="86">
        <v>6</v>
      </c>
      <c r="ES55" s="86">
        <v>5.4000000000000057</v>
      </c>
    </row>
    <row r="56" spans="1:155" ht="12.75" customHeight="1">
      <c r="A56" s="118" t="s">
        <v>31</v>
      </c>
      <c r="B56" s="119"/>
      <c r="C56" s="119"/>
      <c r="D56" s="119"/>
      <c r="E56" s="119"/>
      <c r="F56" s="119"/>
      <c r="G56" s="119"/>
      <c r="H56" s="119"/>
      <c r="I56" s="119"/>
      <c r="J56" s="119"/>
      <c r="K56" s="119"/>
      <c r="L56" s="119"/>
      <c r="M56" s="119"/>
      <c r="N56" s="38"/>
      <c r="O56" s="38"/>
      <c r="P56" s="38">
        <v>20.522975499360442</v>
      </c>
      <c r="Q56" s="38"/>
      <c r="R56" s="38"/>
      <c r="S56" s="38">
        <v>66.857060227026267</v>
      </c>
      <c r="T56" s="38"/>
      <c r="U56" s="38"/>
      <c r="V56" s="38">
        <v>52.308654770908589</v>
      </c>
      <c r="W56" s="38"/>
      <c r="X56" s="38"/>
      <c r="Y56" s="38">
        <v>53.425786224091269</v>
      </c>
      <c r="AA56" s="87"/>
      <c r="AB56" s="87"/>
      <c r="AC56" s="38">
        <v>19.813111690355584</v>
      </c>
      <c r="AD56" s="87"/>
      <c r="AE56" s="87"/>
      <c r="AF56" s="87">
        <v>9.7586914724650171</v>
      </c>
      <c r="AG56" s="87"/>
      <c r="AH56" s="38"/>
      <c r="AI56" s="87">
        <v>11.71718435008917</v>
      </c>
      <c r="AJ56" s="38"/>
      <c r="AK56" s="87"/>
      <c r="AL56" s="38">
        <v>9.0921992845364201</v>
      </c>
      <c r="AM56" s="87"/>
      <c r="AN56" s="87"/>
      <c r="AO56" s="87"/>
      <c r="AP56" s="87">
        <v>-0.15937487911492099</v>
      </c>
      <c r="AQ56" s="87"/>
      <c r="AR56" s="87"/>
      <c r="AS56" s="87">
        <v>-9.9465681799953529</v>
      </c>
      <c r="AT56" s="87"/>
      <c r="AU56" s="87"/>
      <c r="AV56" s="87">
        <v>-21.3930547853072</v>
      </c>
      <c r="AW56" s="87"/>
      <c r="AY56" s="87">
        <v>-10.197044334975374</v>
      </c>
      <c r="BC56" s="38">
        <v>12.891115731319374</v>
      </c>
      <c r="BD56" s="38"/>
      <c r="BE56" s="38"/>
      <c r="BF56" s="38">
        <v>5.4188941273943101</v>
      </c>
      <c r="BG56" s="38"/>
      <c r="BI56" s="38">
        <v>11.195703680303268</v>
      </c>
      <c r="BJ56" s="38"/>
      <c r="BL56" s="38">
        <v>3.4889629197599703</v>
      </c>
      <c r="BN56" s="38"/>
      <c r="BO56" s="38"/>
      <c r="BP56" s="34"/>
      <c r="BQ56" s="143"/>
      <c r="BR56" s="143"/>
      <c r="BS56" s="34"/>
      <c r="BT56" s="143"/>
      <c r="BU56" s="143"/>
      <c r="BV56" s="34"/>
      <c r="BW56" s="143"/>
      <c r="BX56" s="143"/>
      <c r="BY56" s="86">
        <v>35.300000000000011</v>
      </c>
      <c r="CB56" s="38"/>
      <c r="CL56" s="49">
        <v>13.900000000000006</v>
      </c>
      <c r="CP56" s="86">
        <v>-1.0999999999999943</v>
      </c>
      <c r="CS56" s="86">
        <v>27.299999999999997</v>
      </c>
      <c r="CV56" s="86">
        <v>17.900000000000006</v>
      </c>
      <c r="CY56" s="86">
        <v>14.700000000000003</v>
      </c>
      <c r="DC56" s="38">
        <v>6.2000000000000028</v>
      </c>
      <c r="DF56" s="211">
        <v>-4.7999999999999972</v>
      </c>
      <c r="DG56" s="212"/>
      <c r="DH56" s="212"/>
      <c r="DI56" s="212">
        <v>1.2000000000000028</v>
      </c>
      <c r="DL56" s="86">
        <v>6.7999999999999972</v>
      </c>
      <c r="DP56" s="211">
        <v>-11.799999999999997</v>
      </c>
      <c r="DQ56" s="212"/>
      <c r="DR56" s="212"/>
      <c r="DS56" s="212">
        <v>-4.4000000000000057</v>
      </c>
      <c r="DT56" s="212"/>
      <c r="DU56" s="212"/>
      <c r="DV56" s="211">
        <v>-16.700000000000003</v>
      </c>
      <c r="DY56" s="38">
        <v>-16.599999999999994</v>
      </c>
      <c r="DZ56" s="38"/>
      <c r="EA56" s="38"/>
      <c r="EB56" s="38"/>
      <c r="EC56" s="38">
        <v>9.4000000000000057</v>
      </c>
      <c r="ED56" s="38"/>
      <c r="EE56" s="38"/>
      <c r="EF56" s="38">
        <v>-0.29999999999999716</v>
      </c>
      <c r="EG56" s="38"/>
      <c r="EH56" s="38"/>
      <c r="EI56" s="38">
        <v>1.7000000000000028</v>
      </c>
      <c r="EJ56" s="38"/>
      <c r="EK56" s="38"/>
      <c r="EL56" s="38">
        <v>-7.2000000000000028</v>
      </c>
      <c r="EP56" s="86">
        <v>5.7000000000000028</v>
      </c>
      <c r="ES56" s="86">
        <v>4.7999999999999972</v>
      </c>
    </row>
    <row r="57" spans="1:155" ht="12.75" customHeight="1">
      <c r="A57" s="118" t="s">
        <v>32</v>
      </c>
      <c r="B57" s="118"/>
      <c r="C57" s="118"/>
      <c r="D57" s="118"/>
      <c r="E57" s="118"/>
      <c r="F57" s="118"/>
      <c r="G57" s="118"/>
      <c r="H57" s="118"/>
      <c r="I57" s="118"/>
      <c r="J57" s="118"/>
      <c r="K57" s="118"/>
      <c r="L57" s="118"/>
      <c r="M57" s="118"/>
      <c r="N57" s="38"/>
      <c r="O57" s="38"/>
      <c r="P57" s="38">
        <v>2.5824575103851544</v>
      </c>
      <c r="Q57" s="38"/>
      <c r="R57" s="38"/>
      <c r="S57" s="38">
        <v>-1.0784882889185781</v>
      </c>
      <c r="T57" s="38"/>
      <c r="U57" s="38"/>
      <c r="V57" s="38">
        <v>8.9945506042556929</v>
      </c>
      <c r="W57" s="38"/>
      <c r="X57" s="38"/>
      <c r="Y57" s="38">
        <v>10.357854310406722</v>
      </c>
      <c r="Z57" s="38"/>
      <c r="AA57" s="87"/>
      <c r="AB57" s="87"/>
      <c r="AC57" s="38">
        <v>-0.19510642725124683</v>
      </c>
      <c r="AD57" s="87"/>
      <c r="AE57" s="87"/>
      <c r="AF57" s="87">
        <v>10.072886447692269</v>
      </c>
      <c r="AG57" s="87"/>
      <c r="AH57" s="38"/>
      <c r="AI57" s="87">
        <v>12.410505325218438</v>
      </c>
      <c r="AJ57" s="38"/>
      <c r="AK57" s="87"/>
      <c r="AL57" s="38">
        <v>3.2645549752157592</v>
      </c>
      <c r="AM57" s="87"/>
      <c r="AN57" s="87"/>
      <c r="AO57" s="87"/>
      <c r="AP57" s="87">
        <v>5.1032378885549861</v>
      </c>
      <c r="AQ57" s="87"/>
      <c r="AR57" s="87"/>
      <c r="AS57" s="87">
        <v>7.1367724304860758</v>
      </c>
      <c r="AT57" s="87"/>
      <c r="AU57" s="87"/>
      <c r="AV57" s="87">
        <v>7.0640630571446223</v>
      </c>
      <c r="AW57" s="87"/>
      <c r="AY57" s="87">
        <v>5.9685954744832799</v>
      </c>
      <c r="BC57" s="38">
        <v>-4.5674469188259508</v>
      </c>
      <c r="BD57" s="38"/>
      <c r="BE57" s="38"/>
      <c r="BF57" s="38">
        <v>-15.324953329599154</v>
      </c>
      <c r="BG57" s="38"/>
      <c r="BI57" s="38">
        <v>-21.405931499201529</v>
      </c>
      <c r="BL57" s="38">
        <v>-15.681327798330784</v>
      </c>
      <c r="BN57" s="38"/>
      <c r="BO57" s="38"/>
      <c r="BP57" s="34"/>
      <c r="BQ57" s="143"/>
      <c r="BR57" s="143"/>
      <c r="BS57" s="34"/>
      <c r="BT57" s="143"/>
      <c r="BU57" s="143"/>
      <c r="BV57" s="34"/>
      <c r="BW57" s="143"/>
      <c r="BX57" s="143"/>
      <c r="BY57" s="86">
        <v>14</v>
      </c>
      <c r="CB57" s="38"/>
      <c r="CL57" s="49">
        <v>9.5</v>
      </c>
      <c r="CP57" s="86">
        <v>2.4000000000000057</v>
      </c>
      <c r="CS57" s="86">
        <v>4.0999999999999943</v>
      </c>
      <c r="CV57" s="86">
        <v>8</v>
      </c>
      <c r="CY57" s="86">
        <v>11.400000000000006</v>
      </c>
      <c r="DC57" s="38">
        <v>6</v>
      </c>
      <c r="DF57" s="211">
        <v>0</v>
      </c>
      <c r="DG57" s="212"/>
      <c r="DH57" s="212"/>
      <c r="DI57" s="212">
        <v>9.5999999999999943</v>
      </c>
      <c r="DL57" s="86">
        <v>8.5999999999999943</v>
      </c>
      <c r="DP57" s="211">
        <v>6.9000000000000057</v>
      </c>
      <c r="DQ57" s="212"/>
      <c r="DR57" s="212"/>
      <c r="DS57" s="212">
        <v>22.799999999999997</v>
      </c>
      <c r="DT57" s="212"/>
      <c r="DU57" s="212"/>
      <c r="DV57" s="211">
        <v>5.5999999999999943</v>
      </c>
      <c r="DY57" s="38">
        <v>17</v>
      </c>
      <c r="DZ57" s="38"/>
      <c r="EA57" s="38"/>
      <c r="EB57" s="38"/>
      <c r="EC57" s="38">
        <v>3.7999999999999972</v>
      </c>
      <c r="ED57" s="38"/>
      <c r="EE57" s="38"/>
      <c r="EF57" s="38">
        <v>-1.2999999999999972</v>
      </c>
      <c r="EG57" s="38"/>
      <c r="EH57" s="38"/>
      <c r="EI57" s="38">
        <v>-6</v>
      </c>
      <c r="EJ57" s="38"/>
      <c r="EK57" s="38"/>
      <c r="EL57" s="38">
        <v>-9.2000000000000028</v>
      </c>
      <c r="EP57" s="86">
        <v>-3.7999999999999972</v>
      </c>
      <c r="ES57" s="86">
        <v>-4.0999999999999943</v>
      </c>
    </row>
    <row r="58" spans="1:155" ht="12.75" customHeight="1">
      <c r="A58" s="118" t="s">
        <v>44</v>
      </c>
      <c r="B58" s="118"/>
      <c r="C58" s="118"/>
      <c r="D58" s="118"/>
      <c r="E58" s="118"/>
      <c r="F58" s="118"/>
      <c r="G58" s="118"/>
      <c r="H58" s="118"/>
      <c r="I58" s="118"/>
      <c r="J58" s="118"/>
      <c r="K58" s="118"/>
      <c r="L58" s="118"/>
      <c r="M58" s="118"/>
      <c r="N58" s="38"/>
      <c r="O58" s="38"/>
      <c r="P58" s="38">
        <v>4.1074790888715</v>
      </c>
      <c r="Q58" s="38"/>
      <c r="R58" s="38"/>
      <c r="S58" s="38">
        <v>1.8802032254934318</v>
      </c>
      <c r="T58" s="38"/>
      <c r="U58" s="38"/>
      <c r="V58" s="38">
        <v>2.2622364826594605</v>
      </c>
      <c r="W58" s="38"/>
      <c r="X58" s="38"/>
      <c r="Y58" s="38">
        <v>2.8110975862233545</v>
      </c>
      <c r="AA58" s="87"/>
      <c r="AB58" s="87"/>
      <c r="AC58" s="38">
        <v>3.2588759039508233</v>
      </c>
      <c r="AD58" s="87"/>
      <c r="AE58" s="87"/>
      <c r="AF58" s="87">
        <v>0.6925272049486324</v>
      </c>
      <c r="AG58" s="87"/>
      <c r="AH58" s="38"/>
      <c r="AI58" s="87">
        <v>0.28780230229963877</v>
      </c>
      <c r="AJ58" s="38"/>
      <c r="AK58" s="87"/>
      <c r="AL58" s="38">
        <v>2.1331277361115895</v>
      </c>
      <c r="AM58" s="87"/>
      <c r="AN58" s="87"/>
      <c r="AO58" s="87"/>
      <c r="AP58" s="87">
        <v>-7.5638247555355349</v>
      </c>
      <c r="AQ58" s="87"/>
      <c r="AR58" s="87"/>
      <c r="AS58" s="87">
        <v>-8.4154729724076844</v>
      </c>
      <c r="AT58" s="87"/>
      <c r="AU58" s="87"/>
      <c r="AV58" s="87">
        <v>-9.4565791030108954</v>
      </c>
      <c r="AW58" s="87"/>
      <c r="AY58" s="87">
        <v>-6.9016018673273294</v>
      </c>
      <c r="BC58" s="38">
        <v>4.5990616471686963</v>
      </c>
      <c r="BD58" s="38"/>
      <c r="BE58" s="38"/>
      <c r="BF58" s="38">
        <v>7.0334535288494067</v>
      </c>
      <c r="BG58" s="38"/>
      <c r="BI58" s="38">
        <v>9.3208491766606016</v>
      </c>
      <c r="BJ58" s="38"/>
      <c r="BL58" s="38">
        <v>10.472046720785698</v>
      </c>
      <c r="BN58" s="38"/>
      <c r="BO58" s="38"/>
      <c r="BP58" s="34"/>
      <c r="BQ58" s="143"/>
      <c r="BR58" s="143"/>
      <c r="BS58" s="34"/>
      <c r="BT58" s="143"/>
      <c r="BU58" s="143"/>
      <c r="BV58" s="34"/>
      <c r="BW58" s="143"/>
      <c r="BX58" s="143"/>
      <c r="BY58" s="86">
        <v>13.599999999999994</v>
      </c>
      <c r="CB58" s="38"/>
      <c r="CL58" s="49">
        <v>7</v>
      </c>
      <c r="CP58" s="86">
        <v>3.4000000000000057</v>
      </c>
      <c r="CS58" s="86">
        <v>-0.59999999999999432</v>
      </c>
      <c r="CV58" s="86">
        <v>7.5</v>
      </c>
      <c r="CY58" s="86">
        <v>8.7000000000000028</v>
      </c>
      <c r="DC58" s="86">
        <v>9.9999999999994316E-2</v>
      </c>
      <c r="DF58" s="212">
        <v>-1.5999999999999943</v>
      </c>
      <c r="DG58" s="212"/>
      <c r="DH58" s="212"/>
      <c r="DI58" s="212">
        <v>2</v>
      </c>
      <c r="DL58" s="86">
        <v>-0.70000000000000284</v>
      </c>
      <c r="DP58" s="211">
        <v>2.4000000000000057</v>
      </c>
      <c r="DQ58" s="212"/>
      <c r="DR58" s="212"/>
      <c r="DS58" s="212">
        <v>10.299999999999997</v>
      </c>
      <c r="DT58" s="212"/>
      <c r="DU58" s="212"/>
      <c r="DV58" s="211">
        <v>10.299999999999997</v>
      </c>
      <c r="DY58" s="38">
        <v>2.7000000000000028</v>
      </c>
      <c r="DZ58" s="38"/>
      <c r="EA58" s="38"/>
      <c r="EB58" s="38"/>
      <c r="EC58" s="38">
        <v>9.2999999999999972</v>
      </c>
      <c r="ED58" s="38"/>
      <c r="EE58" s="38"/>
      <c r="EF58" s="38">
        <v>4.5</v>
      </c>
      <c r="EG58" s="38"/>
      <c r="EH58" s="38"/>
      <c r="EI58" s="38">
        <v>4.5</v>
      </c>
      <c r="EJ58" s="38"/>
      <c r="EK58" s="38"/>
      <c r="EL58" s="38">
        <v>3</v>
      </c>
      <c r="EP58" s="86">
        <v>12.400000000000006</v>
      </c>
      <c r="ES58" s="86">
        <v>3.0999999999999943</v>
      </c>
    </row>
    <row r="59" spans="1:155" ht="12.75" customHeight="1">
      <c r="A59" s="119" t="s">
        <v>33</v>
      </c>
      <c r="B59" s="119"/>
      <c r="C59" s="119"/>
      <c r="D59" s="119"/>
      <c r="E59" s="119"/>
      <c r="F59" s="119"/>
      <c r="G59" s="119"/>
      <c r="H59" s="119"/>
      <c r="I59" s="119"/>
      <c r="J59" s="119"/>
      <c r="K59" s="119"/>
      <c r="L59" s="119"/>
      <c r="M59" s="119"/>
      <c r="N59" s="38"/>
      <c r="O59" s="38"/>
      <c r="P59" s="38">
        <v>18.006193676467092</v>
      </c>
      <c r="Q59" s="38"/>
      <c r="R59" s="38"/>
      <c r="S59" s="38">
        <v>20.030712775493086</v>
      </c>
      <c r="T59" s="38"/>
      <c r="U59" s="38"/>
      <c r="V59" s="38">
        <v>18.714919399879278</v>
      </c>
      <c r="W59" s="38"/>
      <c r="X59" s="38"/>
      <c r="Y59" s="38">
        <v>18.175979733744512</v>
      </c>
      <c r="AA59" s="87"/>
      <c r="AB59" s="87"/>
      <c r="AC59" s="38">
        <v>17.78374865518731</v>
      </c>
      <c r="AD59" s="87"/>
      <c r="AE59" s="87"/>
      <c r="AF59" s="87">
        <v>13.391164769123847</v>
      </c>
      <c r="AG59" s="87"/>
      <c r="AH59" s="38"/>
      <c r="AI59" s="87">
        <v>24.460896742589668</v>
      </c>
      <c r="AJ59" s="38"/>
      <c r="AK59" s="87"/>
      <c r="AL59" s="38">
        <v>11.287347593917829</v>
      </c>
      <c r="AM59" s="87"/>
      <c r="AN59" s="87"/>
      <c r="AO59" s="87"/>
      <c r="AP59" s="87">
        <v>-17.949915584223262</v>
      </c>
      <c r="AQ59" s="87"/>
      <c r="AR59" s="87"/>
      <c r="AS59" s="87">
        <v>-43.363621564650344</v>
      </c>
      <c r="AT59" s="87"/>
      <c r="AU59" s="87"/>
      <c r="AV59" s="87">
        <v>-48.017276357111029</v>
      </c>
      <c r="AW59" s="87"/>
      <c r="AY59" s="87">
        <v>-41.558729187757514</v>
      </c>
      <c r="BA59" s="38"/>
      <c r="BC59" s="38">
        <v>16.792240263683624</v>
      </c>
      <c r="BD59" s="38"/>
      <c r="BE59" s="38"/>
      <c r="BF59" s="38">
        <v>15.903413722011777</v>
      </c>
      <c r="BG59" s="38"/>
      <c r="BI59" s="38">
        <v>3.2223308726011908</v>
      </c>
      <c r="BL59" s="38">
        <v>3.0289041157300431</v>
      </c>
      <c r="BN59" s="38"/>
      <c r="BO59" s="38"/>
      <c r="BP59" s="143"/>
      <c r="BQ59" s="143"/>
      <c r="BR59" s="143"/>
      <c r="BS59" s="34"/>
      <c r="BT59" s="143"/>
      <c r="BU59" s="143"/>
      <c r="BV59" s="34"/>
      <c r="BW59" s="143"/>
      <c r="BX59" s="143"/>
      <c r="BY59" s="86">
        <v>-12.200000000000003</v>
      </c>
      <c r="CL59" s="49">
        <v>3.2999999999999972</v>
      </c>
      <c r="CP59" s="86">
        <v>-14.799999999999997</v>
      </c>
      <c r="CS59" s="86">
        <v>-21.400000000000006</v>
      </c>
      <c r="CV59" s="86">
        <v>-17.400000000000006</v>
      </c>
      <c r="CY59" s="86">
        <v>1.2000000000000028</v>
      </c>
      <c r="DC59" s="86">
        <v>-3.2999999999999972</v>
      </c>
      <c r="DF59" s="212">
        <v>2.4000000000000057</v>
      </c>
      <c r="DG59" s="212"/>
      <c r="DH59" s="212"/>
      <c r="DI59" s="212">
        <v>-7.7000000000000028</v>
      </c>
      <c r="DL59" s="86">
        <v>-3.7000000000000028</v>
      </c>
      <c r="DP59" s="211">
        <v>1.0999999999999943</v>
      </c>
      <c r="DQ59" s="212"/>
      <c r="DR59" s="212"/>
      <c r="DS59" s="212">
        <v>-3.2999999999999972</v>
      </c>
      <c r="DT59" s="212"/>
      <c r="DU59" s="212"/>
      <c r="DV59" s="211">
        <v>4.5</v>
      </c>
      <c r="DY59" s="38">
        <v>-11</v>
      </c>
      <c r="DZ59" s="38"/>
      <c r="EA59" s="38"/>
      <c r="EB59" s="38"/>
      <c r="EC59" s="38">
        <v>-2.4000000000000057</v>
      </c>
      <c r="ED59" s="38"/>
      <c r="EE59" s="38"/>
      <c r="EF59" s="38">
        <v>-5.7999999999999972</v>
      </c>
      <c r="EG59" s="38"/>
      <c r="EH59" s="38"/>
      <c r="EI59" s="38">
        <v>-8.5</v>
      </c>
      <c r="EJ59" s="38"/>
      <c r="EK59" s="38"/>
      <c r="EL59" s="38">
        <v>-18.700000000000003</v>
      </c>
      <c r="EP59" s="86">
        <v>-9.5999999999999943</v>
      </c>
      <c r="ES59" s="86">
        <v>-13</v>
      </c>
    </row>
    <row r="60" spans="1:155" ht="12.75" customHeight="1">
      <c r="A60" s="138" t="s">
        <v>91</v>
      </c>
      <c r="B60" s="119"/>
      <c r="C60" s="119"/>
      <c r="D60" s="119"/>
      <c r="E60" s="119"/>
      <c r="F60" s="119"/>
      <c r="G60" s="119"/>
      <c r="H60" s="119"/>
      <c r="I60" s="119"/>
      <c r="J60" s="119"/>
      <c r="K60" s="119"/>
      <c r="L60" s="119"/>
      <c r="M60" s="119"/>
      <c r="N60" s="38"/>
      <c r="O60" s="38"/>
      <c r="P60" s="155">
        <v>14.129216901860858</v>
      </c>
      <c r="Q60" s="38"/>
      <c r="R60" s="38"/>
      <c r="S60" s="155">
        <v>12.562779791790149</v>
      </c>
      <c r="T60" s="38"/>
      <c r="U60" s="38"/>
      <c r="V60" s="155">
        <v>14.294082373806091</v>
      </c>
      <c r="W60" s="38"/>
      <c r="X60" s="38"/>
      <c r="Y60" s="155">
        <v>13.767930351256837</v>
      </c>
      <c r="AA60" s="87"/>
      <c r="AB60" s="87"/>
      <c r="AC60" s="155">
        <v>14.611126069892876</v>
      </c>
      <c r="AD60" s="87"/>
      <c r="AE60" s="87"/>
      <c r="AF60" s="155">
        <v>9.2090386656444707</v>
      </c>
      <c r="AG60" s="87"/>
      <c r="AH60" s="38"/>
      <c r="AI60" s="155">
        <v>8.1729122300235701</v>
      </c>
      <c r="AJ60" s="38"/>
      <c r="AK60" s="87"/>
      <c r="AL60" s="155">
        <v>4.9939723931072422</v>
      </c>
      <c r="AM60" s="87"/>
      <c r="AN60" s="87"/>
      <c r="AO60" s="87"/>
      <c r="AP60" s="155">
        <v>-1.5239524044952191</v>
      </c>
      <c r="AQ60" s="87"/>
      <c r="AR60" s="87"/>
      <c r="AS60" s="155">
        <v>-3.3590491553898829</v>
      </c>
      <c r="AT60" s="87"/>
      <c r="AU60" s="87"/>
      <c r="AV60" s="155">
        <v>-5.7519274069757671</v>
      </c>
      <c r="AW60" s="87"/>
      <c r="AY60" s="155">
        <v>-3.6491046923881783</v>
      </c>
      <c r="BA60" s="38"/>
      <c r="BC60" s="155">
        <v>0.98953154138874311</v>
      </c>
      <c r="BD60" s="38"/>
      <c r="BE60" s="38"/>
      <c r="BF60" s="155">
        <v>3.8697314040340416</v>
      </c>
      <c r="BG60" s="38"/>
      <c r="BI60" s="155">
        <v>5.4809847811214212</v>
      </c>
      <c r="BL60" s="155">
        <v>4.4310190462933292</v>
      </c>
      <c r="BN60" s="38"/>
      <c r="BO60" s="38"/>
      <c r="BP60" s="143"/>
      <c r="BQ60" s="143"/>
      <c r="BR60" s="144"/>
      <c r="BS60" s="34"/>
      <c r="BT60" s="143"/>
      <c r="BU60" s="143"/>
      <c r="BV60" s="34"/>
      <c r="BW60" s="143"/>
      <c r="BX60" s="143"/>
      <c r="BY60" s="157">
        <v>6.0999999999999943</v>
      </c>
      <c r="CL60" s="49">
        <v>7</v>
      </c>
      <c r="CP60" s="86">
        <v>9.2000000000000028</v>
      </c>
      <c r="CS60" s="86">
        <v>7.2999999999999972</v>
      </c>
      <c r="CV60" s="86">
        <v>4.4000000000000057</v>
      </c>
      <c r="CY60" s="86">
        <v>3.9000000000000057</v>
      </c>
      <c r="DC60" s="86">
        <v>4.7999999999999972</v>
      </c>
      <c r="DF60" s="212">
        <v>2.9000000000000057</v>
      </c>
      <c r="DG60" s="212"/>
      <c r="DH60" s="212"/>
      <c r="DI60" s="212">
        <v>7.2999999999999972</v>
      </c>
      <c r="DL60" s="86">
        <v>5.2999999999999972</v>
      </c>
      <c r="DP60" s="211">
        <v>0.90000000000000568</v>
      </c>
      <c r="DQ60" s="212"/>
      <c r="DR60" s="212"/>
      <c r="DS60" s="212">
        <v>2.5</v>
      </c>
      <c r="DT60" s="212"/>
      <c r="DU60" s="212"/>
      <c r="DV60" s="211">
        <v>1</v>
      </c>
      <c r="DY60" s="38">
        <v>0.40000000000000568</v>
      </c>
      <c r="DZ60" s="38"/>
      <c r="EA60" s="38"/>
      <c r="EB60" s="38"/>
      <c r="EC60" s="38">
        <v>3.7000000000000028</v>
      </c>
      <c r="ED60" s="38"/>
      <c r="EE60" s="38"/>
      <c r="EF60" s="38">
        <v>3</v>
      </c>
      <c r="EG60" s="38"/>
      <c r="EH60" s="38"/>
      <c r="EI60" s="38">
        <v>4.9000000000000057</v>
      </c>
      <c r="EJ60" s="38"/>
      <c r="EK60" s="38"/>
      <c r="EL60" s="38">
        <v>4.2000000000000028</v>
      </c>
      <c r="EP60" s="86">
        <v>5.2999999999999972</v>
      </c>
      <c r="ES60" s="86">
        <v>10.799999999999997</v>
      </c>
    </row>
    <row r="61" spans="1:155" ht="12.75" customHeight="1">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c r="BO61" s="240"/>
      <c r="BP61" s="240"/>
      <c r="BQ61" s="240"/>
      <c r="BR61" s="240"/>
      <c r="BS61" s="240"/>
      <c r="BT61" s="240"/>
      <c r="BU61" s="240"/>
      <c r="BV61" s="240"/>
      <c r="BW61" s="240"/>
      <c r="BX61" s="240"/>
      <c r="BY61" s="240"/>
      <c r="BZ61" s="240"/>
      <c r="CA61" s="240"/>
      <c r="CB61" s="240"/>
      <c r="CC61" s="240"/>
      <c r="CD61" s="240"/>
      <c r="CE61" s="240"/>
      <c r="CF61" s="240"/>
      <c r="CG61" s="240"/>
      <c r="CH61" s="240"/>
      <c r="CI61" s="240"/>
      <c r="CJ61" s="240"/>
      <c r="CK61" s="240"/>
      <c r="CL61" s="240"/>
      <c r="CM61" s="240"/>
      <c r="CN61" s="240"/>
      <c r="CO61" s="240"/>
      <c r="CP61" s="240"/>
      <c r="CQ61" s="240"/>
      <c r="CR61" s="240"/>
      <c r="CS61" s="240"/>
      <c r="CT61" s="240"/>
      <c r="CU61" s="240"/>
      <c r="CV61" s="240"/>
      <c r="CW61" s="240"/>
      <c r="CX61" s="240"/>
      <c r="CY61" s="240"/>
      <c r="CZ61" s="240"/>
      <c r="DA61" s="240"/>
      <c r="DB61" s="240"/>
      <c r="DC61" s="240"/>
      <c r="DD61" s="240"/>
      <c r="DE61" s="240"/>
      <c r="DF61" s="240"/>
      <c r="DG61" s="240"/>
      <c r="DH61" s="240"/>
      <c r="DI61" s="240"/>
      <c r="DJ61" s="240"/>
      <c r="DK61" s="240"/>
      <c r="DL61" s="240"/>
      <c r="DM61" s="240"/>
      <c r="DN61" s="240"/>
      <c r="DO61" s="240"/>
      <c r="DP61" s="240"/>
      <c r="DQ61" s="240"/>
      <c r="DR61" s="240"/>
      <c r="DS61" s="240"/>
      <c r="DT61" s="240"/>
      <c r="DU61" s="240"/>
      <c r="DV61" s="240"/>
      <c r="DW61" s="240"/>
      <c r="DX61" s="240"/>
      <c r="DY61" s="240"/>
    </row>
    <row r="62" spans="1:155" ht="12.75" customHeight="1">
      <c r="A62" s="299" t="s">
        <v>99</v>
      </c>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9"/>
      <c r="BS62" s="299"/>
      <c r="BT62" s="299"/>
      <c r="BU62" s="299"/>
      <c r="BV62" s="299"/>
      <c r="BW62" s="299"/>
      <c r="BX62" s="299"/>
      <c r="BY62" s="299"/>
      <c r="BZ62" s="299"/>
      <c r="CA62" s="299"/>
      <c r="CB62" s="299"/>
      <c r="CC62" s="299"/>
      <c r="CD62" s="299"/>
      <c r="CE62" s="299"/>
      <c r="CF62" s="299"/>
      <c r="CG62" s="299"/>
      <c r="CH62" s="299"/>
      <c r="CI62" s="299"/>
      <c r="CJ62" s="299"/>
      <c r="CK62" s="299"/>
      <c r="CL62" s="299"/>
      <c r="CM62" s="299"/>
      <c r="CN62" s="299"/>
      <c r="CO62" s="299"/>
      <c r="CP62" s="299"/>
      <c r="CQ62" s="299"/>
      <c r="CR62" s="299"/>
      <c r="CS62" s="299"/>
      <c r="CT62" s="299"/>
      <c r="CU62" s="299"/>
      <c r="CV62" s="299"/>
      <c r="CW62" s="299"/>
      <c r="CX62" s="299"/>
      <c r="CY62" s="299"/>
      <c r="CZ62" s="299"/>
      <c r="DA62" s="299"/>
      <c r="DB62" s="299"/>
      <c r="DC62" s="299"/>
      <c r="DD62" s="299"/>
      <c r="DE62" s="299"/>
      <c r="DF62" s="299"/>
      <c r="DG62" s="299"/>
      <c r="DH62" s="299"/>
      <c r="DI62" s="299"/>
      <c r="DJ62" s="299"/>
      <c r="DK62" s="299"/>
      <c r="DL62" s="299"/>
      <c r="DM62" s="299"/>
      <c r="DN62" s="299"/>
      <c r="DO62" s="299"/>
      <c r="DP62" s="299"/>
      <c r="DQ62" s="299"/>
      <c r="DR62" s="299"/>
      <c r="DS62" s="299"/>
      <c r="DT62" s="299"/>
      <c r="DU62" s="299"/>
      <c r="DV62" s="299"/>
      <c r="DW62" s="299"/>
      <c r="DX62" s="299"/>
      <c r="DY62" s="299"/>
      <c r="DZ62" s="299"/>
      <c r="EA62" s="299"/>
      <c r="EB62" s="299"/>
      <c r="EC62" s="299"/>
      <c r="ED62" s="299"/>
      <c r="EE62" s="299"/>
      <c r="EF62" s="299"/>
      <c r="EG62" s="299"/>
      <c r="EH62" s="299"/>
      <c r="EI62" s="299"/>
      <c r="EJ62" s="299"/>
      <c r="EK62" s="299"/>
      <c r="EL62" s="299"/>
      <c r="EM62" s="299"/>
      <c r="EN62" s="299"/>
      <c r="EO62" s="299"/>
      <c r="EP62" s="299"/>
      <c r="EQ62" s="299"/>
      <c r="ER62" s="299"/>
      <c r="ES62" s="299"/>
      <c r="ET62" s="299"/>
      <c r="EU62" s="299"/>
      <c r="EV62" s="299"/>
      <c r="EW62" s="299"/>
      <c r="EX62" s="299"/>
      <c r="EY62" s="299"/>
    </row>
    <row r="63" spans="1:155" ht="6" customHeight="1">
      <c r="A63" s="120"/>
      <c r="B63" s="120"/>
      <c r="C63" s="120"/>
      <c r="D63" s="120"/>
      <c r="E63" s="120"/>
      <c r="F63" s="120"/>
      <c r="G63" s="120"/>
      <c r="H63" s="120"/>
      <c r="I63" s="120"/>
      <c r="J63" s="120"/>
      <c r="K63" s="120"/>
      <c r="L63" s="120"/>
      <c r="M63" s="120"/>
      <c r="N63" s="38"/>
      <c r="O63" s="38"/>
      <c r="P63" s="38"/>
      <c r="Q63" s="38"/>
      <c r="R63" s="38"/>
      <c r="S63" s="38"/>
      <c r="T63" s="38"/>
      <c r="U63" s="38"/>
      <c r="V63" s="87"/>
      <c r="W63" s="38"/>
      <c r="X63" s="38"/>
      <c r="Y63" s="38"/>
      <c r="AA63" s="87"/>
      <c r="AB63" s="87"/>
      <c r="AC63" s="87"/>
      <c r="AD63" s="87"/>
      <c r="AE63" s="87"/>
      <c r="AF63" s="87"/>
      <c r="AG63" s="87"/>
      <c r="AH63" s="87"/>
      <c r="AI63" s="87"/>
      <c r="AJ63" s="87"/>
      <c r="AK63" s="87"/>
      <c r="AL63" s="87"/>
      <c r="AM63" s="87"/>
      <c r="AN63" s="87"/>
      <c r="AO63" s="87"/>
      <c r="AP63" s="87"/>
      <c r="AQ63" s="87"/>
      <c r="BO63" s="38"/>
      <c r="CT63" s="38"/>
      <c r="CU63" s="38"/>
      <c r="CV63" s="38"/>
      <c r="DF63" s="212"/>
      <c r="DG63" s="212"/>
      <c r="DH63" s="212"/>
      <c r="DI63" s="212"/>
    </row>
    <row r="64" spans="1:155" ht="15" customHeight="1">
      <c r="A64" s="116" t="s">
        <v>28</v>
      </c>
      <c r="B64" s="120"/>
      <c r="C64" s="120"/>
      <c r="D64" s="120"/>
      <c r="E64" s="120"/>
      <c r="F64" s="120"/>
      <c r="G64" s="120"/>
      <c r="H64" s="120"/>
      <c r="I64" s="120"/>
      <c r="J64" s="120"/>
      <c r="K64" s="120"/>
      <c r="L64" s="120"/>
      <c r="M64" s="120"/>
      <c r="N64" s="38"/>
      <c r="O64" s="38"/>
      <c r="P64" s="38">
        <v>12.098002157333017</v>
      </c>
      <c r="Q64" s="38"/>
      <c r="R64" s="38"/>
      <c r="S64" s="38">
        <v>10.865029873201184</v>
      </c>
      <c r="T64" s="38"/>
      <c r="U64" s="38"/>
      <c r="V64" s="38">
        <v>13.159870396821859</v>
      </c>
      <c r="W64" s="38"/>
      <c r="X64" s="38"/>
      <c r="Y64" s="38">
        <v>13.749201958384148</v>
      </c>
      <c r="AA64" s="38"/>
      <c r="AB64" s="38"/>
      <c r="AC64" s="38">
        <v>13.009502510340635</v>
      </c>
      <c r="AD64" s="38"/>
      <c r="AE64" s="38"/>
      <c r="AF64" s="38">
        <v>10.908098488599549</v>
      </c>
      <c r="AG64" s="38"/>
      <c r="AH64" s="38"/>
      <c r="AI64" s="38">
        <v>13.055096644297258</v>
      </c>
      <c r="AJ64" s="38"/>
      <c r="AK64" s="38"/>
      <c r="AL64" s="38">
        <v>6.947653551915983</v>
      </c>
      <c r="AM64" s="87"/>
      <c r="AN64" s="38"/>
      <c r="AO64" s="38"/>
      <c r="AP64" s="38">
        <v>-6.3043598138149743</v>
      </c>
      <c r="AQ64" s="38"/>
      <c r="AR64" s="38"/>
      <c r="AS64" s="38">
        <v>-13.783598339033187</v>
      </c>
      <c r="AT64" s="38"/>
      <c r="AU64" s="38"/>
      <c r="AV64" s="38">
        <v>-16.689101165811618</v>
      </c>
      <c r="AW64" s="38"/>
      <c r="AX64" s="38"/>
      <c r="AY64" s="38">
        <v>-14.149988638617117</v>
      </c>
      <c r="AZ64" s="38"/>
      <c r="BA64" s="38"/>
      <c r="BB64" s="38"/>
      <c r="BC64" s="38">
        <v>3.3571006445649565</v>
      </c>
      <c r="BD64" s="38"/>
      <c r="BE64" s="38"/>
      <c r="BF64" s="38">
        <v>6.1312675496420033</v>
      </c>
      <c r="BG64" s="38"/>
      <c r="BH64" s="38"/>
      <c r="BI64" s="38">
        <v>1.9659663294998064</v>
      </c>
      <c r="BJ64" s="38"/>
      <c r="BK64" s="38"/>
      <c r="BL64" s="38">
        <v>2.0963658916919741</v>
      </c>
      <c r="BM64" s="38"/>
      <c r="BP64" s="34"/>
      <c r="BQ64" s="34"/>
      <c r="BR64" s="34"/>
      <c r="BS64" s="34"/>
      <c r="BT64" s="34"/>
      <c r="BU64" s="34"/>
      <c r="BV64" s="34"/>
      <c r="BW64" s="34"/>
      <c r="BX64" s="34"/>
      <c r="BY64" s="154">
        <v>4.7</v>
      </c>
      <c r="CL64" s="132">
        <v>7.2</v>
      </c>
      <c r="CP64" s="86">
        <v>7.5</v>
      </c>
      <c r="CS64" s="38">
        <v>0.6</v>
      </c>
      <c r="CT64" s="38"/>
      <c r="CU64" s="38"/>
      <c r="CV64" s="211">
        <v>1.6</v>
      </c>
      <c r="CY64" s="198">
        <v>5.2</v>
      </c>
      <c r="DC64" s="86">
        <v>3.1</v>
      </c>
      <c r="DF64" s="212">
        <v>2.2999999999999998</v>
      </c>
      <c r="DG64" s="212"/>
      <c r="DH64" s="212"/>
      <c r="DI64" s="212">
        <v>5.3</v>
      </c>
      <c r="DL64" s="86">
        <v>2.6</v>
      </c>
      <c r="DP64" s="211">
        <v>2.5</v>
      </c>
      <c r="DQ64" s="212"/>
      <c r="DR64" s="212"/>
      <c r="DS64" s="211">
        <v>4.5</v>
      </c>
      <c r="DT64" s="212"/>
      <c r="DU64" s="212"/>
      <c r="DV64" s="212">
        <v>3.2</v>
      </c>
      <c r="DY64" s="38">
        <v>1.9</v>
      </c>
      <c r="DZ64" s="38"/>
      <c r="EA64" s="38"/>
      <c r="EB64" s="38"/>
      <c r="EC64" s="38">
        <v>4.7</v>
      </c>
      <c r="ED64" s="38"/>
      <c r="EE64" s="38"/>
      <c r="EF64" s="38">
        <v>2.6</v>
      </c>
      <c r="EG64" s="38"/>
      <c r="EH64" s="38"/>
      <c r="EI64" s="38">
        <v>-2.6</v>
      </c>
      <c r="EJ64" s="38"/>
      <c r="EK64" s="38"/>
      <c r="EL64" s="38">
        <v>-1</v>
      </c>
      <c r="EP64" s="86">
        <v>6.5</v>
      </c>
      <c r="ES64" s="86">
        <v>5.5</v>
      </c>
    </row>
    <row r="65" spans="1:155" ht="12.75" customHeight="1">
      <c r="A65" s="117" t="s">
        <v>29</v>
      </c>
      <c r="B65" s="120"/>
      <c r="C65" s="120"/>
      <c r="D65" s="120"/>
      <c r="E65" s="120"/>
      <c r="F65" s="120"/>
      <c r="G65" s="120"/>
      <c r="H65" s="120"/>
      <c r="I65" s="120"/>
      <c r="J65" s="120"/>
      <c r="K65" s="120"/>
      <c r="L65" s="120"/>
      <c r="M65" s="120"/>
      <c r="N65" s="38"/>
      <c r="O65" s="38"/>
      <c r="P65" s="38">
        <v>3.4197339699882678</v>
      </c>
      <c r="Q65" s="38"/>
      <c r="R65" s="38"/>
      <c r="S65" s="38">
        <v>2.8385082376911708</v>
      </c>
      <c r="T65" s="38"/>
      <c r="U65" s="38"/>
      <c r="V65" s="38">
        <v>2.7025755407351357</v>
      </c>
      <c r="W65" s="38"/>
      <c r="X65" s="38"/>
      <c r="Y65" s="38">
        <v>3.0481406110361524</v>
      </c>
      <c r="AA65" s="87"/>
      <c r="AB65" s="87"/>
      <c r="AC65" s="87">
        <v>4.4051107347172609</v>
      </c>
      <c r="AD65" s="87"/>
      <c r="AE65" s="87"/>
      <c r="AF65" s="87">
        <v>3.5039833010028616</v>
      </c>
      <c r="AG65" s="87"/>
      <c r="AH65" s="87"/>
      <c r="AI65" s="87">
        <v>2.3216209764780631</v>
      </c>
      <c r="AJ65" s="87"/>
      <c r="AK65" s="87"/>
      <c r="AL65" s="87">
        <v>1.7114337820470533</v>
      </c>
      <c r="AM65" s="87"/>
      <c r="AN65" s="87"/>
      <c r="AO65" s="87"/>
      <c r="AP65" s="87">
        <v>-2.8271371412210597</v>
      </c>
      <c r="AQ65" s="87"/>
      <c r="AR65" s="87"/>
      <c r="AS65" s="87">
        <v>-3.3328439652414725</v>
      </c>
      <c r="AT65" s="87"/>
      <c r="AU65" s="87"/>
      <c r="AV65" s="87">
        <v>-2.6713664121600216</v>
      </c>
      <c r="AW65" s="87"/>
      <c r="AX65" s="87"/>
      <c r="AY65" s="87">
        <v>-2.5583541812187085</v>
      </c>
      <c r="AZ65" s="87"/>
      <c r="BA65" s="87"/>
      <c r="BB65" s="87"/>
      <c r="BC65" s="87">
        <v>1.1178926416388228</v>
      </c>
      <c r="BD65" s="87"/>
      <c r="BE65" s="87"/>
      <c r="BF65" s="87">
        <v>2.5293078696111366</v>
      </c>
      <c r="BG65" s="87"/>
      <c r="BI65" s="87">
        <v>1.7083816454999337</v>
      </c>
      <c r="BL65" s="87">
        <v>0.97114542640159685</v>
      </c>
      <c r="BM65" s="38"/>
      <c r="BN65" s="87"/>
      <c r="BO65" s="38"/>
      <c r="BP65" s="34"/>
      <c r="BQ65" s="34"/>
      <c r="BR65" s="34"/>
      <c r="BS65" s="34"/>
      <c r="BT65" s="34"/>
      <c r="BU65" s="34"/>
      <c r="BV65" s="34"/>
      <c r="BW65" s="34"/>
      <c r="BX65" s="34"/>
      <c r="BY65" s="154">
        <v>0.4</v>
      </c>
      <c r="CL65" s="132">
        <v>1.1000000000000001</v>
      </c>
      <c r="CP65" s="86">
        <v>1.1000000000000001</v>
      </c>
      <c r="CS65" s="38">
        <v>0</v>
      </c>
      <c r="CT65" s="38"/>
      <c r="CU65" s="38"/>
      <c r="CV65" s="211">
        <v>0.2</v>
      </c>
      <c r="CY65" s="202">
        <v>0.3</v>
      </c>
      <c r="DC65" s="86">
        <v>0</v>
      </c>
      <c r="DF65" s="212">
        <v>0.5</v>
      </c>
      <c r="DG65" s="212"/>
      <c r="DH65" s="212"/>
      <c r="DI65" s="212">
        <v>0.3</v>
      </c>
      <c r="DL65" s="86">
        <v>-0.4</v>
      </c>
      <c r="DP65" s="211">
        <v>-0.9</v>
      </c>
      <c r="DQ65" s="212"/>
      <c r="DR65" s="212"/>
      <c r="DS65" s="211">
        <v>-1.2</v>
      </c>
      <c r="DT65" s="212"/>
      <c r="DU65" s="212"/>
      <c r="DV65" s="212">
        <v>-0.2</v>
      </c>
      <c r="DY65" s="38">
        <v>-0.5</v>
      </c>
      <c r="DZ65" s="38"/>
      <c r="EA65" s="38"/>
      <c r="EB65" s="38"/>
      <c r="EC65" s="38">
        <v>-2.1</v>
      </c>
      <c r="ED65" s="38"/>
      <c r="EE65" s="38"/>
      <c r="EF65" s="38">
        <v>-0.5</v>
      </c>
      <c r="EG65" s="38"/>
      <c r="EH65" s="38"/>
      <c r="EI65" s="38">
        <v>-3.6</v>
      </c>
      <c r="EJ65" s="38"/>
      <c r="EK65" s="38"/>
      <c r="EL65" s="38">
        <v>0.9</v>
      </c>
      <c r="EP65" s="86">
        <v>1.3</v>
      </c>
      <c r="ES65" s="86">
        <v>0.7</v>
      </c>
    </row>
    <row r="66" spans="1:155" ht="12.75" customHeight="1">
      <c r="A66" s="117" t="s">
        <v>30</v>
      </c>
      <c r="B66" s="120"/>
      <c r="C66" s="120"/>
      <c r="D66" s="120"/>
      <c r="E66" s="120"/>
      <c r="F66" s="120"/>
      <c r="G66" s="120"/>
      <c r="H66" s="120"/>
      <c r="I66" s="120"/>
      <c r="J66" s="120"/>
      <c r="K66" s="120"/>
      <c r="L66" s="120"/>
      <c r="M66" s="120"/>
      <c r="N66" s="38"/>
      <c r="O66" s="38"/>
      <c r="P66" s="38">
        <v>8.6782681873447487</v>
      </c>
      <c r="Q66" s="38"/>
      <c r="R66" s="38"/>
      <c r="S66" s="38">
        <v>8.0265216355100133</v>
      </c>
      <c r="T66" s="38"/>
      <c r="U66" s="38"/>
      <c r="V66" s="38">
        <v>10.457294856086722</v>
      </c>
      <c r="W66" s="38"/>
      <c r="X66" s="38"/>
      <c r="Y66" s="38">
        <v>10.701061347347997</v>
      </c>
      <c r="AA66" s="87"/>
      <c r="AB66" s="87"/>
      <c r="AC66" s="87">
        <v>8.604391775623375</v>
      </c>
      <c r="AD66" s="87"/>
      <c r="AE66" s="87"/>
      <c r="AF66" s="87">
        <v>7.4041151875966875</v>
      </c>
      <c r="AG66" s="87"/>
      <c r="AH66" s="87"/>
      <c r="AI66" s="87">
        <v>10.733475667819194</v>
      </c>
      <c r="AJ66" s="87"/>
      <c r="AK66" s="87"/>
      <c r="AL66" s="87">
        <v>5.2362197698689297</v>
      </c>
      <c r="AM66" s="87"/>
      <c r="AN66" s="87"/>
      <c r="AO66" s="87"/>
      <c r="AP66" s="87">
        <v>-3.4772226725939146</v>
      </c>
      <c r="AQ66" s="87"/>
      <c r="AR66" s="87"/>
      <c r="AS66" s="87">
        <v>-10.450754373791714</v>
      </c>
      <c r="AT66" s="87"/>
      <c r="AU66" s="87"/>
      <c r="AV66" s="87">
        <v>-14.017734753651597</v>
      </c>
      <c r="AW66" s="87"/>
      <c r="AX66" s="87"/>
      <c r="AY66" s="87">
        <v>-11.591634457398408</v>
      </c>
      <c r="AZ66" s="87"/>
      <c r="BA66" s="87"/>
      <c r="BB66" s="87"/>
      <c r="BC66" s="87">
        <v>2.2392080029261336</v>
      </c>
      <c r="BD66" s="87"/>
      <c r="BE66" s="87"/>
      <c r="BF66" s="87">
        <v>3.6019596800308666</v>
      </c>
      <c r="BG66" s="87"/>
      <c r="BH66" s="87"/>
      <c r="BI66" s="87">
        <v>0.25758468399987278</v>
      </c>
      <c r="BJ66" s="87"/>
      <c r="BK66" s="87"/>
      <c r="BL66" s="87">
        <v>1.1252204652903772</v>
      </c>
      <c r="BM66" s="87"/>
      <c r="BN66" s="87"/>
      <c r="BO66" s="38"/>
      <c r="BP66" s="34"/>
      <c r="BQ66" s="34"/>
      <c r="BR66" s="34"/>
      <c r="BS66" s="34"/>
      <c r="BT66" s="34"/>
      <c r="BU66" s="34"/>
      <c r="BV66" s="34"/>
      <c r="BW66" s="34"/>
      <c r="BX66" s="34"/>
      <c r="BY66" s="154">
        <v>4.3</v>
      </c>
      <c r="CL66" s="132">
        <v>6.1</v>
      </c>
      <c r="CP66" s="86">
        <v>6.4</v>
      </c>
      <c r="CS66" s="38">
        <v>0.6</v>
      </c>
      <c r="CT66" s="38"/>
      <c r="CU66" s="38"/>
      <c r="CV66" s="211">
        <v>1.4</v>
      </c>
      <c r="CY66" s="202">
        <v>4.9000000000000004</v>
      </c>
      <c r="DC66" s="86">
        <v>3.1</v>
      </c>
      <c r="DF66" s="212">
        <v>1.8</v>
      </c>
      <c r="DG66" s="212"/>
      <c r="DH66" s="212"/>
      <c r="DI66" s="212">
        <v>5</v>
      </c>
      <c r="DL66" s="86">
        <v>3</v>
      </c>
      <c r="DP66" s="211">
        <v>3.4</v>
      </c>
      <c r="DQ66" s="212"/>
      <c r="DR66" s="212"/>
      <c r="DS66" s="211">
        <v>5.7</v>
      </c>
      <c r="DT66" s="212"/>
      <c r="DU66" s="212"/>
      <c r="DV66" s="212">
        <v>3.4</v>
      </c>
      <c r="DY66" s="38">
        <v>2.4</v>
      </c>
      <c r="DZ66" s="38"/>
      <c r="EA66" s="38"/>
      <c r="EB66" s="38"/>
      <c r="EC66" s="38">
        <v>6.8</v>
      </c>
      <c r="ED66" s="38"/>
      <c r="EE66" s="38"/>
      <c r="EF66" s="38">
        <v>3.1</v>
      </c>
      <c r="EG66" s="38"/>
      <c r="EH66" s="38"/>
      <c r="EI66" s="38">
        <v>1</v>
      </c>
      <c r="EJ66" s="38"/>
      <c r="EK66" s="38"/>
      <c r="EL66" s="38">
        <v>-1.9</v>
      </c>
      <c r="EP66" s="86">
        <v>5.2</v>
      </c>
      <c r="ES66" s="86">
        <v>4.8</v>
      </c>
    </row>
    <row r="67" spans="1:155" ht="12.75" customHeight="1">
      <c r="A67" s="119" t="s">
        <v>31</v>
      </c>
      <c r="B67" s="119"/>
      <c r="C67" s="119"/>
      <c r="D67" s="119"/>
      <c r="E67" s="119"/>
      <c r="F67" s="119"/>
      <c r="G67" s="119"/>
      <c r="H67" s="119"/>
      <c r="I67" s="119"/>
      <c r="J67" s="119"/>
      <c r="K67" s="119"/>
      <c r="L67" s="119"/>
      <c r="M67" s="119"/>
      <c r="N67" s="38"/>
      <c r="O67" s="38"/>
      <c r="P67" s="38">
        <v>-0.46713286634977669</v>
      </c>
      <c r="Q67" s="38"/>
      <c r="R67" s="38"/>
      <c r="S67" s="38">
        <v>-0.87840067179080294</v>
      </c>
      <c r="T67" s="38"/>
      <c r="U67" s="38"/>
      <c r="V67" s="38">
        <v>-0.62018447446475844</v>
      </c>
      <c r="W67" s="38"/>
      <c r="X67" s="38"/>
      <c r="Y67" s="38">
        <v>-0.56390548597091983</v>
      </c>
      <c r="AA67" s="87"/>
      <c r="AB67" s="87"/>
      <c r="AC67" s="87">
        <v>-0.47710328221382753</v>
      </c>
      <c r="AD67" s="87"/>
      <c r="AE67" s="87"/>
      <c r="AF67" s="87">
        <v>-0.19020816719273476</v>
      </c>
      <c r="AG67" s="87"/>
      <c r="AH67" s="87"/>
      <c r="AI67" s="87">
        <v>-0.18442428656334842</v>
      </c>
      <c r="AJ67" s="87"/>
      <c r="AK67" s="87"/>
      <c r="AL67" s="87">
        <v>-0.12815931395694632</v>
      </c>
      <c r="AM67" s="87"/>
      <c r="AN67" s="87"/>
      <c r="AO67" s="87"/>
      <c r="AP67" s="87">
        <v>4.0425519806442448E-3</v>
      </c>
      <c r="AQ67" s="87"/>
      <c r="AR67" s="87"/>
      <c r="AS67" s="87">
        <v>0.20123073499481556</v>
      </c>
      <c r="AT67" s="87"/>
      <c r="AU67" s="87"/>
      <c r="AV67" s="87">
        <v>0.3563887175128776</v>
      </c>
      <c r="AW67" s="87"/>
      <c r="AX67" s="87"/>
      <c r="AY67" s="87">
        <v>0.15721250516643059</v>
      </c>
      <c r="AZ67" s="87"/>
      <c r="BA67" s="87"/>
      <c r="BB67" s="87"/>
      <c r="BC67" s="87">
        <v>-0.35537551285099567</v>
      </c>
      <c r="BD67" s="87"/>
      <c r="BE67" s="87"/>
      <c r="BF67" s="87">
        <v>-0.11911511906048299</v>
      </c>
      <c r="BG67" s="87"/>
      <c r="BI67" s="87">
        <v>-0.18272885178606157</v>
      </c>
      <c r="BL67" s="87">
        <v>-5.6171102391704045E-2</v>
      </c>
      <c r="BM67" s="38"/>
      <c r="BN67" s="87"/>
      <c r="BO67" s="38"/>
      <c r="BP67" s="34"/>
      <c r="BQ67" s="34"/>
      <c r="BR67" s="34"/>
      <c r="BS67" s="34"/>
      <c r="BT67" s="34"/>
      <c r="BU67" s="34"/>
      <c r="BV67" s="34"/>
      <c r="BW67" s="34"/>
      <c r="BX67" s="34"/>
      <c r="BY67" s="154">
        <v>-0.6</v>
      </c>
      <c r="CL67" s="132">
        <v>-0.3</v>
      </c>
      <c r="CP67" s="86">
        <v>0</v>
      </c>
      <c r="CS67" s="38">
        <v>-4.8</v>
      </c>
      <c r="CT67" s="38"/>
      <c r="CU67" s="38"/>
      <c r="CV67" s="211">
        <v>-0.2</v>
      </c>
      <c r="CY67" s="198">
        <v>-0.3</v>
      </c>
      <c r="DC67" s="86">
        <v>-0.3</v>
      </c>
      <c r="DF67" s="212">
        <v>0.2</v>
      </c>
      <c r="DG67" s="212"/>
      <c r="DH67" s="212"/>
      <c r="DI67" s="212">
        <v>0</v>
      </c>
      <c r="DL67" s="86">
        <v>-0.2</v>
      </c>
      <c r="DP67" s="211">
        <v>0.8</v>
      </c>
      <c r="DQ67" s="212"/>
      <c r="DR67" s="212"/>
      <c r="DS67" s="211">
        <v>0.1</v>
      </c>
      <c r="DT67" s="212"/>
      <c r="DU67" s="212"/>
      <c r="DV67" s="212">
        <v>0.2</v>
      </c>
      <c r="DY67" s="38">
        <v>0.3</v>
      </c>
      <c r="DZ67" s="38"/>
      <c r="EA67" s="38"/>
      <c r="EB67" s="38"/>
      <c r="EC67" s="38">
        <v>-0.4</v>
      </c>
      <c r="ED67" s="38"/>
      <c r="EE67" s="38"/>
      <c r="EF67" s="38">
        <v>0</v>
      </c>
      <c r="EG67" s="38"/>
      <c r="EH67" s="38"/>
      <c r="EI67" s="38">
        <v>0</v>
      </c>
      <c r="EJ67" s="38"/>
      <c r="EK67" s="38"/>
      <c r="EL67" s="38">
        <v>0.2</v>
      </c>
      <c r="EP67" s="86">
        <v>-0.2</v>
      </c>
      <c r="ES67" s="86">
        <v>-0.1</v>
      </c>
    </row>
    <row r="68" spans="1:155" ht="12.75" customHeight="1">
      <c r="A68" s="118" t="s">
        <v>32</v>
      </c>
      <c r="B68" s="118"/>
      <c r="C68" s="118"/>
      <c r="D68" s="118"/>
      <c r="E68" s="118"/>
      <c r="F68" s="118"/>
      <c r="G68" s="118"/>
      <c r="H68" s="118"/>
      <c r="I68" s="118"/>
      <c r="J68" s="118"/>
      <c r="K68" s="118"/>
      <c r="L68" s="118"/>
      <c r="M68" s="118"/>
      <c r="N68" s="38"/>
      <c r="O68" s="38"/>
      <c r="P68" s="38">
        <v>0.26662911537308437</v>
      </c>
      <c r="Q68" s="38"/>
      <c r="R68" s="38"/>
      <c r="S68" s="38">
        <v>-0.12333263460672686</v>
      </c>
      <c r="T68" s="38"/>
      <c r="U68" s="38"/>
      <c r="V68" s="38">
        <v>1.6581501684249051</v>
      </c>
      <c r="W68" s="38"/>
      <c r="X68" s="38"/>
      <c r="Y68" s="38">
        <v>1.9385324045743995</v>
      </c>
      <c r="AA68" s="87"/>
      <c r="AB68" s="87"/>
      <c r="AC68" s="87">
        <v>-1.8877591020424529E-2</v>
      </c>
      <c r="AD68" s="87"/>
      <c r="AE68" s="87"/>
      <c r="AF68" s="87">
        <v>1.0610760751201442</v>
      </c>
      <c r="AG68" s="87"/>
      <c r="AH68" s="87"/>
      <c r="AI68" s="87">
        <v>2.217450242961156</v>
      </c>
      <c r="AJ68" s="87"/>
      <c r="AK68" s="87"/>
      <c r="AL68" s="87">
        <v>0.59577680433587143</v>
      </c>
      <c r="AM68" s="87"/>
      <c r="AN68" s="87"/>
      <c r="AO68" s="87"/>
      <c r="AP68" s="87">
        <v>0.4208571348393238</v>
      </c>
      <c r="AQ68" s="87"/>
      <c r="AR68" s="87"/>
      <c r="AS68" s="87">
        <v>0.68165626888252673</v>
      </c>
      <c r="AT68" s="87"/>
      <c r="AU68" s="87"/>
      <c r="AV68" s="87">
        <v>1.1316674523557335</v>
      </c>
      <c r="AW68" s="87"/>
      <c r="AX68" s="87"/>
      <c r="AY68" s="87">
        <v>0.97338521791603116</v>
      </c>
      <c r="AZ68" s="87"/>
      <c r="BA68" s="87"/>
      <c r="BB68" s="87"/>
      <c r="BC68" s="87">
        <v>-0.36574493569135058</v>
      </c>
      <c r="BD68" s="87"/>
      <c r="BE68" s="87"/>
      <c r="BF68" s="87">
        <v>-1.5968537304496413</v>
      </c>
      <c r="BG68" s="87"/>
      <c r="BI68" s="87">
        <v>-3.7094135029140602</v>
      </c>
      <c r="BL68" s="87">
        <v>-2.6519941266550644</v>
      </c>
      <c r="BM68" s="38"/>
      <c r="BN68" s="87"/>
      <c r="BO68" s="38"/>
      <c r="BP68" s="34"/>
      <c r="BQ68" s="34"/>
      <c r="BR68" s="34"/>
      <c r="BS68" s="34"/>
      <c r="BT68" s="34"/>
      <c r="BU68" s="34"/>
      <c r="BV68" s="34"/>
      <c r="BW68" s="34"/>
      <c r="BX68" s="34"/>
      <c r="BY68" s="154">
        <v>2.4</v>
      </c>
      <c r="CL68" s="132">
        <v>1.9</v>
      </c>
      <c r="CP68" s="86">
        <v>0.3</v>
      </c>
      <c r="CS68" s="38">
        <v>3</v>
      </c>
      <c r="CT68" s="38"/>
      <c r="CU68" s="38"/>
      <c r="CV68" s="211">
        <v>1.3</v>
      </c>
      <c r="CY68" s="198">
        <v>2.1</v>
      </c>
      <c r="DC68" s="86">
        <v>0.5</v>
      </c>
      <c r="DF68" s="212">
        <v>0</v>
      </c>
      <c r="DG68" s="212"/>
      <c r="DH68" s="212"/>
      <c r="DI68" s="212">
        <v>2.8</v>
      </c>
      <c r="DL68" s="86">
        <v>1.8</v>
      </c>
      <c r="DP68" s="211">
        <v>1.1000000000000001</v>
      </c>
      <c r="DQ68" s="212"/>
      <c r="DR68" s="212"/>
      <c r="DS68" s="211">
        <v>2.6</v>
      </c>
      <c r="DT68" s="212"/>
      <c r="DU68" s="212"/>
      <c r="DV68" s="212">
        <v>1.3</v>
      </c>
      <c r="DY68" s="38">
        <v>2.7</v>
      </c>
      <c r="DZ68" s="38"/>
      <c r="EA68" s="38"/>
      <c r="EB68" s="38"/>
      <c r="EC68" s="38">
        <v>0.4</v>
      </c>
      <c r="ED68" s="38"/>
      <c r="EE68" s="38"/>
      <c r="EF68" s="38">
        <v>-0.3</v>
      </c>
      <c r="EG68" s="38"/>
      <c r="EH68" s="38"/>
      <c r="EI68" s="38">
        <v>-4.5</v>
      </c>
      <c r="EJ68" s="38"/>
      <c r="EK68" s="38"/>
      <c r="EL68" s="38">
        <v>-2.5</v>
      </c>
      <c r="EP68" s="86">
        <v>-0.2</v>
      </c>
      <c r="ES68" s="86">
        <v>-0.4</v>
      </c>
    </row>
    <row r="69" spans="1:155" ht="12.75" customHeight="1">
      <c r="A69" s="118" t="s">
        <v>44</v>
      </c>
      <c r="B69" s="118"/>
      <c r="C69" s="118"/>
      <c r="D69" s="118"/>
      <c r="E69" s="118"/>
      <c r="F69" s="118"/>
      <c r="G69" s="118"/>
      <c r="H69" s="118"/>
      <c r="I69" s="118"/>
      <c r="J69" s="118"/>
      <c r="K69" s="118"/>
      <c r="L69" s="118"/>
      <c r="M69" s="118"/>
      <c r="N69" s="38"/>
      <c r="O69" s="38"/>
      <c r="P69" s="38">
        <v>1.0907325665739911</v>
      </c>
      <c r="Q69" s="38"/>
      <c r="R69" s="38"/>
      <c r="S69" s="38">
        <v>0.42130470200787729</v>
      </c>
      <c r="T69" s="38"/>
      <c r="U69" s="38"/>
      <c r="V69" s="38">
        <v>0.41231789256176876</v>
      </c>
      <c r="W69" s="38"/>
      <c r="X69" s="38"/>
      <c r="Y69" s="38">
        <v>0.48358366559498245</v>
      </c>
      <c r="AA69" s="121"/>
      <c r="AB69" s="87"/>
      <c r="AC69" s="87">
        <v>0.77139947848582446</v>
      </c>
      <c r="AD69" s="87"/>
      <c r="AE69" s="87"/>
      <c r="AF69" s="87">
        <v>0.13639445406463524</v>
      </c>
      <c r="AG69" s="87"/>
      <c r="AH69" s="87"/>
      <c r="AI69" s="87">
        <v>4.5420614528589941E-2</v>
      </c>
      <c r="AJ69" s="87"/>
      <c r="AK69" s="87"/>
      <c r="AL69" s="87">
        <v>0.31934566447719609</v>
      </c>
      <c r="AM69" s="87"/>
      <c r="AN69" s="87"/>
      <c r="AO69" s="87"/>
      <c r="AP69" s="87">
        <v>-1.6193364288292094</v>
      </c>
      <c r="AQ69" s="87"/>
      <c r="AR69" s="87"/>
      <c r="AS69" s="87">
        <v>-1.4767429102153784</v>
      </c>
      <c r="AT69" s="87"/>
      <c r="AU69" s="87"/>
      <c r="AV69" s="87">
        <v>-1.3074715236364645</v>
      </c>
      <c r="AW69" s="87"/>
      <c r="AX69" s="87"/>
      <c r="AY69" s="87">
        <v>-0.91747230473751085</v>
      </c>
      <c r="AZ69" s="87"/>
      <c r="BA69" s="87"/>
      <c r="BB69" s="87"/>
      <c r="BC69" s="87">
        <v>0.80581757025790224</v>
      </c>
      <c r="BD69" s="87"/>
      <c r="BE69" s="87"/>
      <c r="BF69" s="87">
        <v>1.1044447500976071</v>
      </c>
      <c r="BG69" s="87"/>
      <c r="BI69" s="87">
        <v>1.2475800168770141</v>
      </c>
      <c r="BL69" s="87">
        <v>1.4045831316081909</v>
      </c>
      <c r="BM69" s="38"/>
      <c r="BN69" s="87"/>
      <c r="BO69" s="38"/>
      <c r="BP69" s="34"/>
      <c r="BQ69" s="34"/>
      <c r="BR69" s="34"/>
      <c r="BS69" s="34"/>
      <c r="BT69" s="34"/>
      <c r="BU69" s="34"/>
      <c r="BV69" s="34"/>
      <c r="BW69" s="34"/>
      <c r="BX69" s="34"/>
      <c r="BY69" s="154">
        <v>2.1</v>
      </c>
      <c r="CL69" s="132">
        <v>1.2</v>
      </c>
      <c r="CP69" s="86">
        <v>0.7</v>
      </c>
      <c r="CS69" s="38">
        <v>0.6</v>
      </c>
      <c r="CT69" s="38"/>
      <c r="CU69" s="38"/>
      <c r="CV69" s="211">
        <v>0.6</v>
      </c>
      <c r="CY69" s="198">
        <v>1.3</v>
      </c>
      <c r="DC69" s="86">
        <v>-0.2</v>
      </c>
      <c r="DF69" s="212">
        <v>-0.2</v>
      </c>
      <c r="DG69" s="212"/>
      <c r="DH69" s="212"/>
      <c r="DI69" s="212">
        <v>0.4</v>
      </c>
      <c r="DL69" s="86">
        <v>-0.3</v>
      </c>
      <c r="DP69" s="211">
        <v>0.4</v>
      </c>
      <c r="DQ69" s="212"/>
      <c r="DR69" s="212"/>
      <c r="DS69" s="211">
        <v>2.1</v>
      </c>
      <c r="DT69" s="212"/>
      <c r="DU69" s="212"/>
      <c r="DV69" s="212">
        <v>1.2</v>
      </c>
      <c r="DY69" s="38">
        <v>0.4</v>
      </c>
      <c r="DZ69" s="38"/>
      <c r="EA69" s="38"/>
      <c r="EB69" s="38"/>
      <c r="EC69" s="38">
        <v>3</v>
      </c>
      <c r="ED69" s="38"/>
      <c r="EE69" s="38"/>
      <c r="EF69" s="38">
        <v>1.6</v>
      </c>
      <c r="EG69" s="38"/>
      <c r="EH69" s="38"/>
      <c r="EI69" s="38">
        <v>1.7</v>
      </c>
      <c r="EJ69" s="38"/>
      <c r="EK69" s="38"/>
      <c r="EL69" s="38">
        <v>0.9</v>
      </c>
      <c r="EP69" s="86">
        <v>2.8</v>
      </c>
      <c r="ES69" s="86">
        <v>0.6</v>
      </c>
    </row>
    <row r="70" spans="1:155" ht="12.75" customHeight="1">
      <c r="A70" s="119" t="s">
        <v>33</v>
      </c>
      <c r="B70" s="119"/>
      <c r="C70" s="119"/>
      <c r="D70" s="119"/>
      <c r="E70" s="119"/>
      <c r="F70" s="119"/>
      <c r="G70" s="119"/>
      <c r="H70" s="119"/>
      <c r="I70" s="119"/>
      <c r="J70" s="119"/>
      <c r="K70" s="119"/>
      <c r="L70" s="119"/>
      <c r="M70" s="119"/>
      <c r="N70" s="38"/>
      <c r="O70" s="38"/>
      <c r="P70" s="38">
        <v>1.4828934914108416</v>
      </c>
      <c r="Q70" s="38"/>
      <c r="R70" s="38"/>
      <c r="S70" s="38">
        <v>3.766801366802127</v>
      </c>
      <c r="T70" s="38"/>
      <c r="U70" s="38"/>
      <c r="V70" s="38">
        <v>4.2753660691971582</v>
      </c>
      <c r="W70" s="38"/>
      <c r="X70" s="38"/>
      <c r="Y70" s="38">
        <v>4.3013756019995295</v>
      </c>
      <c r="AA70" s="87"/>
      <c r="AB70" s="87"/>
      <c r="AC70" s="87">
        <v>1.5426094704871263</v>
      </c>
      <c r="AD70" s="87"/>
      <c r="AE70" s="87"/>
      <c r="AF70" s="87">
        <v>2.7140667869366171</v>
      </c>
      <c r="AG70" s="87"/>
      <c r="AH70" s="87"/>
      <c r="AI70" s="87">
        <v>5.8628634897045728</v>
      </c>
      <c r="AJ70" s="87"/>
      <c r="AK70" s="87"/>
      <c r="AL70" s="87">
        <v>2.7697475559043094</v>
      </c>
      <c r="AM70" s="87"/>
      <c r="AN70" s="87"/>
      <c r="AO70" s="87"/>
      <c r="AP70" s="87">
        <v>-1.5460210200928584</v>
      </c>
      <c r="AQ70" s="87"/>
      <c r="AR70" s="87"/>
      <c r="AS70" s="87">
        <v>-8.4595259104950919</v>
      </c>
      <c r="AT70" s="87"/>
      <c r="AU70" s="87"/>
      <c r="AV70" s="87">
        <v>-12.18509977346916</v>
      </c>
      <c r="AW70" s="87"/>
      <c r="AX70" s="87"/>
      <c r="AY70" s="87">
        <v>-10.517580212652359</v>
      </c>
      <c r="AZ70" s="87"/>
      <c r="BA70" s="87"/>
      <c r="BB70" s="87"/>
      <c r="BC70" s="87">
        <v>1.624070346812639</v>
      </c>
      <c r="BD70" s="87"/>
      <c r="BE70" s="87"/>
      <c r="BF70" s="87">
        <v>2.3012850210157727</v>
      </c>
      <c r="BG70" s="87"/>
      <c r="BI70" s="87">
        <v>0.55667521610578274</v>
      </c>
      <c r="BL70" s="87">
        <v>0.56346169577715055</v>
      </c>
      <c r="BM70" s="38"/>
      <c r="BN70" s="87"/>
      <c r="BO70" s="38"/>
      <c r="BP70" s="34"/>
      <c r="BQ70" s="34"/>
      <c r="BR70" s="34"/>
      <c r="BS70" s="34"/>
      <c r="BT70" s="34"/>
      <c r="BU70" s="34"/>
      <c r="BV70" s="34"/>
      <c r="BW70" s="34"/>
      <c r="BX70" s="34"/>
      <c r="BY70" s="154">
        <v>-2.1</v>
      </c>
      <c r="CL70" s="132">
        <v>0.4</v>
      </c>
      <c r="CP70" s="86">
        <v>-1.6</v>
      </c>
      <c r="CS70" s="38">
        <v>-18</v>
      </c>
      <c r="CT70" s="38"/>
      <c r="CU70" s="38"/>
      <c r="CV70" s="211">
        <v>-1.1000000000000001</v>
      </c>
      <c r="CY70" s="198">
        <v>0.2</v>
      </c>
      <c r="DC70" s="86">
        <v>-0.2</v>
      </c>
      <c r="DF70" s="212">
        <v>0.3</v>
      </c>
      <c r="DG70" s="212"/>
      <c r="DH70" s="212"/>
      <c r="DI70" s="212">
        <v>-0.7</v>
      </c>
      <c r="DL70" s="86">
        <v>-0.5</v>
      </c>
      <c r="DP70" s="211">
        <v>0.1</v>
      </c>
      <c r="DQ70" s="212"/>
      <c r="DR70" s="212"/>
      <c r="DS70" s="211">
        <v>-0.4</v>
      </c>
      <c r="DT70" s="212"/>
      <c r="DU70" s="212"/>
      <c r="DV70" s="212">
        <v>0.3</v>
      </c>
      <c r="DY70" s="38">
        <v>-1.2</v>
      </c>
      <c r="DZ70" s="38"/>
      <c r="EA70" s="38"/>
      <c r="EB70" s="38"/>
      <c r="EC70" s="38">
        <v>-0.3</v>
      </c>
      <c r="ED70" s="38"/>
      <c r="EE70" s="38"/>
      <c r="EF70" s="38">
        <v>-1.1000000000000001</v>
      </c>
      <c r="EG70" s="38"/>
      <c r="EH70" s="38"/>
      <c r="EI70" s="38">
        <v>-2</v>
      </c>
      <c r="EJ70" s="38"/>
      <c r="EK70" s="38"/>
      <c r="EL70" s="38">
        <v>-3.4</v>
      </c>
      <c r="EP70" s="86">
        <v>-0.5</v>
      </c>
      <c r="ES70" s="86">
        <v>-1.2</v>
      </c>
    </row>
    <row r="71" spans="1:155" ht="12.75" customHeight="1">
      <c r="A71" s="138" t="s">
        <v>91</v>
      </c>
      <c r="B71" s="119"/>
      <c r="C71" s="119"/>
      <c r="D71" s="119"/>
      <c r="E71" s="119"/>
      <c r="F71" s="119"/>
      <c r="G71" s="119"/>
      <c r="H71" s="119"/>
      <c r="I71" s="119"/>
      <c r="J71" s="119"/>
      <c r="K71" s="119"/>
      <c r="L71" s="119"/>
      <c r="M71" s="119"/>
      <c r="N71" s="38"/>
      <c r="O71" s="38"/>
      <c r="P71" s="155">
        <v>6.3051458803366085</v>
      </c>
      <c r="Q71" s="38"/>
      <c r="R71" s="38"/>
      <c r="S71" s="155">
        <v>4.8401488730975384</v>
      </c>
      <c r="T71" s="38"/>
      <c r="U71" s="38"/>
      <c r="V71" s="155">
        <v>4.7316452003676499</v>
      </c>
      <c r="W71" s="38"/>
      <c r="X71" s="38"/>
      <c r="Y71" s="155">
        <v>4.5414751611500055</v>
      </c>
      <c r="AA71" s="87"/>
      <c r="AB71" s="87"/>
      <c r="AC71" s="155">
        <v>6.786363699884677</v>
      </c>
      <c r="AD71" s="87"/>
      <c r="AE71" s="87"/>
      <c r="AF71" s="155">
        <v>3.6827860386680258</v>
      </c>
      <c r="AG71" s="87"/>
      <c r="AH71" s="87"/>
      <c r="AI71" s="155">
        <v>2.7921656071882235</v>
      </c>
      <c r="AJ71" s="87"/>
      <c r="AK71" s="87"/>
      <c r="AL71" s="155">
        <v>1.6795090591084991</v>
      </c>
      <c r="AM71" s="87"/>
      <c r="AN71" s="87"/>
      <c r="AO71" s="87"/>
      <c r="AP71" s="155">
        <v>-0.7367649104918147</v>
      </c>
      <c r="AQ71" s="87"/>
      <c r="AR71" s="87"/>
      <c r="AS71" s="155">
        <v>-1.3973725569585858</v>
      </c>
      <c r="AT71" s="87"/>
      <c r="AU71" s="87"/>
      <c r="AV71" s="155">
        <v>-2.0132196264145841</v>
      </c>
      <c r="AW71" s="87"/>
      <c r="AX71" s="87"/>
      <c r="AY71" s="155">
        <v>-1.2871796630910013</v>
      </c>
      <c r="AZ71" s="87"/>
      <c r="BA71" s="87"/>
      <c r="BB71" s="87"/>
      <c r="BC71" s="155">
        <v>0.53044053439793881</v>
      </c>
      <c r="BD71" s="87"/>
      <c r="BE71" s="87"/>
      <c r="BF71" s="155">
        <v>1.912198758427611</v>
      </c>
      <c r="BG71" s="87"/>
      <c r="BI71" s="155">
        <v>2.3454718057171977</v>
      </c>
      <c r="BL71" s="155">
        <v>1.8653408669518041</v>
      </c>
      <c r="BM71" s="38"/>
      <c r="BN71" s="87"/>
      <c r="BO71" s="38"/>
      <c r="BP71" s="34"/>
      <c r="BQ71" s="34"/>
      <c r="BR71" s="34"/>
      <c r="BS71" s="34"/>
      <c r="BT71" s="34"/>
      <c r="BU71" s="34"/>
      <c r="BV71" s="34"/>
      <c r="BW71" s="34"/>
      <c r="BX71" s="34"/>
      <c r="BY71" s="156">
        <v>2.5</v>
      </c>
      <c r="CL71" s="154">
        <v>2.9</v>
      </c>
      <c r="CP71" s="38">
        <v>7</v>
      </c>
      <c r="CS71" s="38">
        <v>19.8</v>
      </c>
      <c r="CT71" s="38"/>
      <c r="CU71" s="38"/>
      <c r="CV71" s="211">
        <v>0.8</v>
      </c>
      <c r="CY71" s="198">
        <v>1.6</v>
      </c>
      <c r="DC71" s="86">
        <v>3.3</v>
      </c>
      <c r="DF71" s="212">
        <v>1.5</v>
      </c>
      <c r="DG71" s="212"/>
      <c r="DH71" s="212"/>
      <c r="DI71" s="212">
        <v>2.5</v>
      </c>
      <c r="DL71" s="86">
        <v>2.2000000000000002</v>
      </c>
      <c r="DP71" s="211">
        <v>1</v>
      </c>
      <c r="DQ71" s="212"/>
      <c r="DR71" s="212"/>
      <c r="DS71" s="211">
        <v>1.3</v>
      </c>
      <c r="DT71" s="212"/>
      <c r="DU71" s="212"/>
      <c r="DV71" s="212">
        <v>0.4</v>
      </c>
      <c r="DY71" s="38">
        <v>0.2</v>
      </c>
      <c r="DZ71" s="38"/>
      <c r="EA71" s="38"/>
      <c r="EB71" s="38"/>
      <c r="EC71" s="38">
        <v>4.0999999999999996</v>
      </c>
      <c r="ED71" s="38"/>
      <c r="EE71" s="38"/>
      <c r="EF71" s="38">
        <v>2.9</v>
      </c>
      <c r="EG71" s="38"/>
      <c r="EH71" s="38"/>
      <c r="EI71" s="38">
        <v>5.8</v>
      </c>
      <c r="EJ71" s="38"/>
      <c r="EK71" s="38"/>
      <c r="EL71" s="38">
        <v>2.9</v>
      </c>
      <c r="EP71" s="86">
        <v>3.3</v>
      </c>
      <c r="ES71" s="86">
        <v>5.9</v>
      </c>
    </row>
    <row r="72" spans="1:155" ht="6" customHeight="1">
      <c r="A72" s="116"/>
      <c r="B72" s="116"/>
      <c r="C72" s="116"/>
      <c r="D72" s="116"/>
      <c r="E72" s="116"/>
      <c r="F72" s="116"/>
      <c r="G72" s="116"/>
      <c r="H72" s="116"/>
      <c r="I72" s="116"/>
      <c r="J72" s="116"/>
      <c r="K72" s="116"/>
      <c r="L72" s="116"/>
      <c r="M72" s="116"/>
      <c r="N72" s="38"/>
      <c r="O72" s="38"/>
      <c r="P72" s="38"/>
      <c r="Q72" s="38"/>
      <c r="R72" s="38"/>
      <c r="S72" s="38"/>
      <c r="T72" s="38"/>
      <c r="U72" s="38"/>
      <c r="V72" s="87"/>
      <c r="W72" s="38"/>
      <c r="X72" s="38"/>
      <c r="Y72" s="38"/>
      <c r="AA72" s="87"/>
      <c r="AB72" s="87"/>
      <c r="AC72" s="114"/>
      <c r="AD72" s="87"/>
      <c r="AE72" s="87"/>
      <c r="AF72" s="87"/>
      <c r="AG72" s="87"/>
      <c r="AH72" s="87"/>
      <c r="AI72" s="87"/>
      <c r="AJ72" s="87"/>
      <c r="AK72" s="87"/>
      <c r="AL72" s="87"/>
      <c r="AM72" s="87"/>
      <c r="AN72" s="87"/>
      <c r="AO72" s="87"/>
      <c r="AP72" s="87"/>
      <c r="AQ72" s="87"/>
      <c r="BO72" s="38"/>
      <c r="CL72" s="102"/>
    </row>
    <row r="73" spans="1:155" ht="12.75" customHeight="1">
      <c r="A73" s="298" t="s">
        <v>100</v>
      </c>
      <c r="B73" s="298"/>
      <c r="C73" s="298"/>
      <c r="D73" s="298"/>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298"/>
      <c r="BA73" s="298"/>
      <c r="BB73" s="298"/>
      <c r="BC73" s="298"/>
      <c r="BD73" s="298"/>
      <c r="BE73" s="298"/>
      <c r="BF73" s="298"/>
      <c r="BG73" s="298"/>
      <c r="BH73" s="298"/>
      <c r="BI73" s="298"/>
      <c r="BJ73" s="298"/>
      <c r="BK73" s="298"/>
      <c r="BL73" s="298"/>
      <c r="BM73" s="298"/>
      <c r="BN73" s="298"/>
      <c r="BO73" s="298"/>
      <c r="BP73" s="298"/>
      <c r="BQ73" s="298"/>
      <c r="BR73" s="298"/>
      <c r="BS73" s="298"/>
      <c r="BT73" s="298"/>
      <c r="BU73" s="298"/>
      <c r="BV73" s="298"/>
      <c r="BW73" s="298"/>
      <c r="BX73" s="298"/>
      <c r="BY73" s="298"/>
      <c r="BZ73" s="298"/>
      <c r="CA73" s="298"/>
      <c r="CB73" s="298"/>
      <c r="CC73" s="298"/>
      <c r="CD73" s="298"/>
      <c r="CE73" s="298"/>
      <c r="CF73" s="298"/>
      <c r="CG73" s="298"/>
      <c r="CH73" s="298"/>
      <c r="CI73" s="298"/>
      <c r="CJ73" s="298"/>
      <c r="CK73" s="298"/>
      <c r="CL73" s="298"/>
      <c r="CM73" s="298"/>
      <c r="CN73" s="298"/>
      <c r="CO73" s="298"/>
      <c r="CP73" s="298"/>
      <c r="CQ73" s="298"/>
      <c r="CR73" s="298"/>
      <c r="CS73" s="298"/>
      <c r="CT73" s="298"/>
      <c r="CU73" s="298"/>
      <c r="CV73" s="298"/>
      <c r="CW73" s="298"/>
      <c r="CX73" s="298"/>
      <c r="CY73" s="298"/>
      <c r="CZ73" s="298"/>
      <c r="DA73" s="298"/>
      <c r="DB73" s="298"/>
      <c r="DC73" s="298"/>
      <c r="DD73" s="298"/>
      <c r="DE73" s="298"/>
      <c r="DF73" s="298"/>
      <c r="DG73" s="298"/>
      <c r="DH73" s="298"/>
      <c r="DI73" s="298"/>
      <c r="DJ73" s="298"/>
      <c r="DK73" s="298"/>
      <c r="DL73" s="298"/>
      <c r="DM73" s="298"/>
      <c r="DN73" s="298"/>
      <c r="DO73" s="298"/>
      <c r="DP73" s="298"/>
      <c r="DQ73" s="298"/>
      <c r="DR73" s="298"/>
      <c r="DS73" s="298"/>
      <c r="DT73" s="298"/>
      <c r="DU73" s="298"/>
      <c r="DV73" s="298"/>
      <c r="DW73" s="298"/>
      <c r="DX73" s="298"/>
      <c r="DY73" s="298"/>
      <c r="DZ73" s="298"/>
      <c r="EA73" s="298"/>
      <c r="EB73" s="298"/>
      <c r="EC73" s="298"/>
      <c r="ED73" s="298"/>
      <c r="EE73" s="298"/>
      <c r="EF73" s="298"/>
      <c r="EG73" s="298"/>
      <c r="EH73" s="298"/>
      <c r="EI73" s="298"/>
      <c r="EJ73" s="298"/>
      <c r="EK73" s="298"/>
      <c r="EL73" s="298"/>
      <c r="EM73" s="298"/>
      <c r="EN73" s="298"/>
      <c r="EO73" s="298"/>
      <c r="EP73" s="298"/>
      <c r="EQ73" s="298"/>
      <c r="ER73" s="298"/>
      <c r="ES73" s="298"/>
      <c r="ET73" s="298"/>
      <c r="EU73" s="298"/>
      <c r="EV73" s="298"/>
      <c r="EW73" s="298"/>
      <c r="EX73" s="298"/>
      <c r="EY73" s="298"/>
    </row>
    <row r="74" spans="1:155" ht="6" customHeight="1">
      <c r="A74" s="120"/>
      <c r="B74" s="120"/>
      <c r="C74" s="120"/>
      <c r="D74" s="120"/>
      <c r="E74" s="120"/>
      <c r="F74" s="120"/>
      <c r="G74" s="120"/>
      <c r="H74" s="120"/>
      <c r="I74" s="120"/>
      <c r="J74" s="120"/>
      <c r="K74" s="120"/>
      <c r="L74" s="120"/>
      <c r="M74" s="120"/>
      <c r="N74" s="38"/>
      <c r="O74" s="38"/>
      <c r="P74" s="38"/>
      <c r="Q74" s="38"/>
      <c r="R74" s="38"/>
      <c r="S74" s="38"/>
      <c r="T74" s="38"/>
      <c r="U74" s="38"/>
      <c r="V74" s="87"/>
      <c r="W74" s="38"/>
      <c r="X74" s="38"/>
      <c r="Y74" s="38"/>
      <c r="AA74" s="87"/>
      <c r="AB74" s="87"/>
      <c r="AC74" s="87"/>
      <c r="AD74" s="87"/>
      <c r="AE74" s="87"/>
      <c r="AF74" s="87"/>
      <c r="AG74" s="87"/>
      <c r="AH74" s="87"/>
      <c r="AI74" s="87"/>
      <c r="AJ74" s="87"/>
      <c r="AK74" s="87"/>
      <c r="AL74" s="87"/>
      <c r="AM74" s="87"/>
      <c r="AN74" s="87"/>
      <c r="AO74" s="87"/>
      <c r="AP74" s="87"/>
      <c r="AQ74" s="87"/>
      <c r="BO74" s="38"/>
    </row>
    <row r="75" spans="1:155" ht="15" customHeight="1">
      <c r="A75" s="116" t="s">
        <v>28</v>
      </c>
      <c r="B75" s="120"/>
      <c r="C75" s="120"/>
      <c r="D75" s="120"/>
      <c r="E75" s="120"/>
      <c r="F75" s="120"/>
      <c r="G75" s="120"/>
      <c r="H75" s="120"/>
      <c r="I75" s="120"/>
      <c r="J75" s="120"/>
      <c r="K75" s="120"/>
      <c r="L75" s="120"/>
      <c r="M75" s="120"/>
      <c r="N75" s="38"/>
      <c r="O75" s="38"/>
      <c r="P75" s="38">
        <v>100</v>
      </c>
      <c r="Q75" s="38"/>
      <c r="R75" s="38"/>
      <c r="S75" s="38">
        <v>100</v>
      </c>
      <c r="T75" s="38"/>
      <c r="U75" s="38"/>
      <c r="V75" s="38">
        <v>100</v>
      </c>
      <c r="W75" s="38"/>
      <c r="X75" s="38"/>
      <c r="Y75" s="38">
        <v>100</v>
      </c>
      <c r="AA75" s="38"/>
      <c r="AB75" s="38"/>
      <c r="AC75" s="38">
        <v>100</v>
      </c>
      <c r="AD75" s="38"/>
      <c r="AE75" s="38"/>
      <c r="AF75" s="38">
        <v>100</v>
      </c>
      <c r="AG75" s="38"/>
      <c r="AH75" s="38"/>
      <c r="AI75" s="38">
        <v>100</v>
      </c>
      <c r="AJ75" s="38"/>
      <c r="AK75" s="38"/>
      <c r="AL75" s="38">
        <v>100</v>
      </c>
      <c r="AM75" s="87"/>
      <c r="AN75" s="38"/>
      <c r="AO75" s="38"/>
      <c r="AP75" s="38">
        <v>100</v>
      </c>
      <c r="AQ75" s="38"/>
      <c r="AR75" s="38"/>
      <c r="AS75" s="38">
        <v>100</v>
      </c>
      <c r="AT75" s="38"/>
      <c r="AU75" s="38"/>
      <c r="AV75" s="38">
        <v>100</v>
      </c>
      <c r="AW75" s="38"/>
      <c r="AX75" s="38"/>
      <c r="AY75" s="38">
        <v>100</v>
      </c>
      <c r="AZ75" s="38"/>
      <c r="BA75" s="38"/>
      <c r="BB75" s="38"/>
      <c r="BC75" s="38">
        <v>100</v>
      </c>
      <c r="BE75" s="38"/>
      <c r="BF75" s="38">
        <v>100</v>
      </c>
      <c r="BG75" s="38"/>
      <c r="BH75" s="38"/>
      <c r="BI75" s="38">
        <v>100</v>
      </c>
      <c r="BJ75" s="38"/>
      <c r="BK75" s="38"/>
      <c r="BL75" s="38">
        <v>100</v>
      </c>
      <c r="BM75" s="38"/>
      <c r="BN75" s="38"/>
      <c r="BO75" s="38"/>
      <c r="BP75" s="143"/>
      <c r="BQ75" s="143"/>
      <c r="BR75" s="143"/>
      <c r="BS75" s="143"/>
      <c r="BT75" s="143"/>
      <c r="BU75" s="143"/>
      <c r="BV75" s="143"/>
      <c r="BW75" s="143"/>
      <c r="BX75" s="143"/>
      <c r="BY75" s="154">
        <v>100</v>
      </c>
      <c r="CL75" s="154">
        <v>100</v>
      </c>
      <c r="CP75" s="38">
        <v>100</v>
      </c>
      <c r="CQ75" s="38"/>
      <c r="CS75" s="38">
        <v>100</v>
      </c>
      <c r="CU75" s="38"/>
      <c r="CV75" s="211">
        <v>100</v>
      </c>
      <c r="CW75" s="201"/>
      <c r="CX75" s="201"/>
      <c r="CY75" s="216">
        <v>100</v>
      </c>
      <c r="DC75" s="38">
        <v>100</v>
      </c>
      <c r="DF75" s="38">
        <v>100</v>
      </c>
      <c r="DI75" s="38">
        <v>100</v>
      </c>
      <c r="DL75" s="38">
        <v>100</v>
      </c>
      <c r="DP75" s="211">
        <v>100</v>
      </c>
      <c r="DQ75" s="212"/>
      <c r="DR75" s="212"/>
      <c r="DS75" s="211">
        <v>100</v>
      </c>
      <c r="DT75" s="212"/>
      <c r="DU75" s="212"/>
      <c r="DV75" s="211">
        <v>100</v>
      </c>
      <c r="DY75" s="211">
        <v>100</v>
      </c>
      <c r="EC75" s="211">
        <v>100</v>
      </c>
      <c r="EF75" s="211">
        <v>100</v>
      </c>
      <c r="EG75" s="211"/>
      <c r="EH75" s="211"/>
      <c r="EI75" s="211">
        <v>100</v>
      </c>
      <c r="EJ75" s="211"/>
      <c r="EK75" s="211"/>
      <c r="EL75" s="211">
        <v>100</v>
      </c>
      <c r="EP75" s="211">
        <v>100</v>
      </c>
      <c r="ES75" s="211">
        <v>100</v>
      </c>
    </row>
    <row r="76" spans="1:155" ht="12.75" customHeight="1">
      <c r="A76" s="117" t="s">
        <v>29</v>
      </c>
      <c r="B76" s="119"/>
      <c r="C76" s="119"/>
      <c r="D76" s="119"/>
      <c r="E76" s="119"/>
      <c r="F76" s="119"/>
      <c r="G76" s="119"/>
      <c r="H76" s="119"/>
      <c r="I76" s="119"/>
      <c r="J76" s="119"/>
      <c r="K76" s="119"/>
      <c r="L76" s="119"/>
      <c r="M76" s="119"/>
      <c r="N76" s="38"/>
      <c r="O76" s="38"/>
      <c r="P76" s="38">
        <v>13.940947010815178</v>
      </c>
      <c r="Q76" s="38"/>
      <c r="R76" s="38"/>
      <c r="S76" s="38">
        <v>11.461370443825093</v>
      </c>
      <c r="T76" s="38"/>
      <c r="U76" s="38"/>
      <c r="V76" s="38">
        <v>9.7925926293933276</v>
      </c>
      <c r="W76" s="38"/>
      <c r="X76" s="38"/>
      <c r="Y76" s="38">
        <v>10.019679397541676</v>
      </c>
      <c r="AA76" s="87"/>
      <c r="AB76" s="87"/>
      <c r="AC76" s="87">
        <v>15.922042328659083</v>
      </c>
      <c r="AD76" s="38"/>
      <c r="AE76" s="38"/>
      <c r="AF76" s="38">
        <v>13.815255303333524</v>
      </c>
      <c r="AG76" s="38"/>
      <c r="AH76" s="87"/>
      <c r="AI76" s="38">
        <v>11.442518441480672</v>
      </c>
      <c r="AJ76" s="87"/>
      <c r="AK76" s="87"/>
      <c r="AL76" s="87">
        <v>11.358084332961273</v>
      </c>
      <c r="AM76" s="87"/>
      <c r="AN76" s="87"/>
      <c r="AO76" s="87"/>
      <c r="AP76" s="87">
        <v>13.950985034411497</v>
      </c>
      <c r="AQ76" s="87"/>
      <c r="AR76" s="38"/>
      <c r="AS76" s="87">
        <v>12.190814528870437</v>
      </c>
      <c r="AT76" s="38"/>
      <c r="AU76" s="38"/>
      <c r="AV76" s="38">
        <v>10.849961491666278</v>
      </c>
      <c r="AW76" s="38"/>
      <c r="AX76" s="38"/>
      <c r="AY76" s="38">
        <v>10.585322812750366</v>
      </c>
      <c r="AZ76" s="38"/>
      <c r="BA76" s="38"/>
      <c r="BB76" s="38"/>
      <c r="BC76" s="38">
        <v>14.884137234329076</v>
      </c>
      <c r="BE76" s="38"/>
      <c r="BF76" s="38">
        <v>14.22250600473699</v>
      </c>
      <c r="BG76" s="38"/>
      <c r="BI76" s="38">
        <v>12.199832460878749</v>
      </c>
      <c r="BL76" s="38">
        <v>11.110429525292423</v>
      </c>
      <c r="BN76" s="38"/>
      <c r="BO76" s="38"/>
      <c r="BP76" s="143"/>
      <c r="BQ76" s="143"/>
      <c r="BR76" s="143"/>
      <c r="BS76" s="143"/>
      <c r="BT76" s="143"/>
      <c r="BU76" s="143"/>
      <c r="BV76" s="143"/>
      <c r="BW76" s="143"/>
      <c r="BX76" s="143"/>
      <c r="BY76" s="132">
        <v>10.9</v>
      </c>
      <c r="CL76" s="132">
        <v>11.5</v>
      </c>
      <c r="CP76" s="38">
        <v>16.287863792637122</v>
      </c>
      <c r="CQ76" s="38"/>
      <c r="CS76" s="38">
        <v>13.578817920206831</v>
      </c>
      <c r="CU76" s="38"/>
      <c r="CV76" s="211">
        <v>10.48848315458679</v>
      </c>
      <c r="CW76" s="168"/>
      <c r="CX76" s="168"/>
      <c r="CY76" s="168">
        <v>9.6839101582334752</v>
      </c>
      <c r="DC76" s="38">
        <v>15.537139917324575</v>
      </c>
      <c r="DF76" s="38">
        <v>14.327774428477502</v>
      </c>
      <c r="DI76" s="38">
        <v>10.84375159558504</v>
      </c>
      <c r="DL76" s="38">
        <v>9.9618632021346194</v>
      </c>
      <c r="DP76" s="211">
        <v>13.997863877766898</v>
      </c>
      <c r="DQ76" s="212"/>
      <c r="DR76" s="212"/>
      <c r="DS76" s="211">
        <v>11.031504631390941</v>
      </c>
      <c r="DT76" s="212"/>
      <c r="DU76" s="212"/>
      <c r="DV76" s="211">
        <v>10.020310142880753</v>
      </c>
      <c r="DY76" s="211">
        <v>9.0701041212648263</v>
      </c>
      <c r="EC76" s="211">
        <v>12.373123435431088</v>
      </c>
      <c r="EF76" s="211">
        <v>10.296033491391505</v>
      </c>
      <c r="EG76" s="211"/>
      <c r="EH76" s="211"/>
      <c r="EI76" s="211">
        <v>8.7096718395967478</v>
      </c>
      <c r="EJ76" s="211"/>
      <c r="EK76" s="211"/>
      <c r="EL76" s="211">
        <v>9.7918884367588497</v>
      </c>
      <c r="EP76" s="211">
        <v>13.208516478993815</v>
      </c>
      <c r="ES76" s="211">
        <v>10.752537915003808</v>
      </c>
    </row>
    <row r="77" spans="1:155" ht="15" customHeight="1">
      <c r="A77" s="117" t="s">
        <v>30</v>
      </c>
      <c r="B77" s="117"/>
      <c r="C77" s="117"/>
      <c r="D77" s="117"/>
      <c r="E77" s="117"/>
      <c r="F77" s="117"/>
      <c r="G77" s="117"/>
      <c r="H77" s="117"/>
      <c r="I77" s="117"/>
      <c r="J77" s="117"/>
      <c r="K77" s="117"/>
      <c r="L77" s="117"/>
      <c r="M77" s="117"/>
      <c r="N77" s="38"/>
      <c r="O77" s="38"/>
      <c r="P77" s="38">
        <v>86.059052989184821</v>
      </c>
      <c r="Q77" s="38"/>
      <c r="R77" s="38"/>
      <c r="S77" s="38">
        <v>88.538629556174911</v>
      </c>
      <c r="T77" s="38"/>
      <c r="U77" s="38"/>
      <c r="V77" s="38">
        <v>90.20740737060666</v>
      </c>
      <c r="W77" s="38"/>
      <c r="X77" s="38"/>
      <c r="Y77" s="38">
        <v>89.98032060245832</v>
      </c>
      <c r="AA77" s="38"/>
      <c r="AB77" s="38"/>
      <c r="AC77" s="38">
        <v>84.077957671340911</v>
      </c>
      <c r="AD77" s="38"/>
      <c r="AE77" s="38"/>
      <c r="AF77" s="38">
        <v>86.184744696666471</v>
      </c>
      <c r="AG77" s="38"/>
      <c r="AH77" s="38"/>
      <c r="AI77" s="38">
        <v>88.557481558519328</v>
      </c>
      <c r="AJ77" s="38"/>
      <c r="AK77" s="38"/>
      <c r="AL77" s="38">
        <v>88.641915667038731</v>
      </c>
      <c r="AM77" s="87"/>
      <c r="AN77" s="38"/>
      <c r="AO77" s="38"/>
      <c r="AP77" s="38">
        <v>86.049014965588498</v>
      </c>
      <c r="AQ77" s="38"/>
      <c r="AR77" s="38"/>
      <c r="AS77" s="38">
        <v>87.809185471129567</v>
      </c>
      <c r="AT77" s="38"/>
      <c r="AU77" s="38"/>
      <c r="AV77" s="38">
        <v>89.150038508333722</v>
      </c>
      <c r="AW77" s="38"/>
      <c r="AX77" s="38"/>
      <c r="AY77" s="38">
        <v>89.414677187249637</v>
      </c>
      <c r="AZ77" s="38"/>
      <c r="BA77" s="38"/>
      <c r="BB77" s="38"/>
      <c r="BC77" s="38">
        <v>85.11586276567094</v>
      </c>
      <c r="BE77" s="38"/>
      <c r="BF77" s="38">
        <v>85.777493995263015</v>
      </c>
      <c r="BG77" s="38"/>
      <c r="BH77" s="38"/>
      <c r="BI77" s="38">
        <v>87.800167539121261</v>
      </c>
      <c r="BJ77" s="38"/>
      <c r="BK77" s="38"/>
      <c r="BL77" s="38">
        <v>88.889570474707597</v>
      </c>
      <c r="BM77" s="38"/>
      <c r="BN77" s="38"/>
      <c r="BO77" s="38"/>
      <c r="BP77" s="143"/>
      <c r="BQ77" s="143"/>
      <c r="BR77" s="143"/>
      <c r="BS77" s="143"/>
      <c r="BT77" s="143"/>
      <c r="BU77" s="143"/>
      <c r="BV77" s="143"/>
      <c r="BW77" s="143"/>
      <c r="BX77" s="143"/>
      <c r="BY77" s="132">
        <v>89.1</v>
      </c>
      <c r="CL77" s="132">
        <v>88.5</v>
      </c>
      <c r="CP77" s="38">
        <v>83.712136207362875</v>
      </c>
      <c r="CQ77" s="38"/>
      <c r="CS77" s="38">
        <v>86.421182079793155</v>
      </c>
      <c r="CU77" s="38"/>
      <c r="CV77" s="211">
        <v>89.511516845413212</v>
      </c>
      <c r="CW77" s="168"/>
      <c r="CX77" s="168"/>
      <c r="CY77" s="168">
        <v>90.316089841766512</v>
      </c>
      <c r="DC77" s="38">
        <v>84.462860082675434</v>
      </c>
      <c r="DF77" s="38">
        <v>85.672225571522503</v>
      </c>
      <c r="DI77" s="38">
        <v>89.156248404414967</v>
      </c>
      <c r="DL77" s="38">
        <v>90.038136797865377</v>
      </c>
      <c r="DP77" s="211">
        <v>86.002136122233111</v>
      </c>
      <c r="DQ77" s="212"/>
      <c r="DR77" s="212"/>
      <c r="DS77" s="211">
        <v>88.968495368609041</v>
      </c>
      <c r="DT77" s="212"/>
      <c r="DU77" s="212"/>
      <c r="DV77" s="211">
        <v>89.979689857119254</v>
      </c>
      <c r="DY77" s="211">
        <v>90.929895878735181</v>
      </c>
      <c r="EC77" s="211">
        <v>87.626876564568917</v>
      </c>
      <c r="EF77" s="211">
        <v>89.703966508608488</v>
      </c>
      <c r="EG77" s="211"/>
      <c r="EH77" s="211"/>
      <c r="EI77" s="211">
        <v>91.290328160403249</v>
      </c>
      <c r="EJ77" s="211"/>
      <c r="EK77" s="211"/>
      <c r="EL77" s="211">
        <v>90.208111563241147</v>
      </c>
      <c r="EP77" s="211">
        <v>86.791483521006185</v>
      </c>
      <c r="ES77" s="211">
        <v>89.247462084996201</v>
      </c>
    </row>
    <row r="78" spans="1:155" ht="12.75" customHeight="1">
      <c r="A78" s="118" t="s">
        <v>31</v>
      </c>
      <c r="B78" s="119"/>
      <c r="C78" s="119"/>
      <c r="D78" s="119"/>
      <c r="E78" s="119"/>
      <c r="F78" s="119"/>
      <c r="G78" s="119"/>
      <c r="H78" s="119"/>
      <c r="I78" s="119"/>
      <c r="J78" s="119"/>
      <c r="K78" s="119"/>
      <c r="L78" s="119"/>
      <c r="M78" s="119"/>
      <c r="N78" s="38"/>
      <c r="O78" s="38"/>
      <c r="P78" s="38">
        <v>-2.4080179311060301</v>
      </c>
      <c r="Q78" s="38"/>
      <c r="R78" s="38"/>
      <c r="S78" s="38">
        <v>-1.9491154908362804</v>
      </c>
      <c r="T78" s="38"/>
      <c r="U78" s="38"/>
      <c r="V78" s="38">
        <v>-1.5739641969697686</v>
      </c>
      <c r="W78" s="38"/>
      <c r="X78" s="38"/>
      <c r="Y78" s="38">
        <v>-1.4095524080176463</v>
      </c>
      <c r="AA78" s="87"/>
      <c r="AB78" s="87"/>
      <c r="AC78" s="87">
        <v>-2.5365051274669628</v>
      </c>
      <c r="AD78" s="38"/>
      <c r="AE78" s="38"/>
      <c r="AF78" s="38">
        <v>-2.0231172335352108</v>
      </c>
      <c r="AG78" s="38"/>
      <c r="AH78" s="87"/>
      <c r="AI78" s="38">
        <v>-1.6659084973579659</v>
      </c>
      <c r="AJ78" s="87"/>
      <c r="AK78" s="87"/>
      <c r="AL78" s="87">
        <v>-1.5417458236128212</v>
      </c>
      <c r="AM78" s="87"/>
      <c r="AN78" s="87"/>
      <c r="AO78" s="87"/>
      <c r="AP78" s="87">
        <v>-2.7567475171105604</v>
      </c>
      <c r="AQ78" s="87"/>
      <c r="AR78" s="38"/>
      <c r="AS78" s="87">
        <v>-2.1981444232009717</v>
      </c>
      <c r="AT78" s="38"/>
      <c r="AU78" s="38"/>
      <c r="AV78" s="38">
        <v>-1.6321336916726239</v>
      </c>
      <c r="AW78" s="38"/>
      <c r="AY78" s="38">
        <v>-1.6099655881573096</v>
      </c>
      <c r="BC78" s="38">
        <v>-2.7996956635685897</v>
      </c>
      <c r="BE78" s="38"/>
      <c r="BF78" s="38">
        <v>-2.0786811503984448</v>
      </c>
      <c r="BG78" s="38"/>
      <c r="BI78" s="38">
        <v>-1.6613433228682923</v>
      </c>
      <c r="BJ78" s="38"/>
      <c r="BL78" s="38">
        <v>-1.5157764175381017</v>
      </c>
      <c r="BN78" s="38"/>
      <c r="BO78" s="38"/>
      <c r="BP78" s="143"/>
      <c r="BQ78" s="143"/>
      <c r="BR78" s="143"/>
      <c r="BS78" s="143"/>
      <c r="BT78" s="143"/>
      <c r="BU78" s="143"/>
      <c r="BV78" s="143"/>
      <c r="BW78" s="143"/>
      <c r="BX78" s="143"/>
      <c r="BY78" s="132">
        <v>-2.5</v>
      </c>
      <c r="CL78" s="132">
        <v>-2.7</v>
      </c>
      <c r="CP78" s="38">
        <v>-3.8280083615313085</v>
      </c>
      <c r="CQ78" s="38"/>
      <c r="CS78" s="38">
        <v>-3.618876924612402</v>
      </c>
      <c r="CU78" s="38"/>
      <c r="CV78" s="211">
        <v>-2.5396940195147519</v>
      </c>
      <c r="CW78" s="168"/>
      <c r="CX78" s="168"/>
      <c r="CY78" s="168">
        <v>-2.2623953139664015</v>
      </c>
      <c r="DC78" s="38">
        <v>-3.8811972354644708</v>
      </c>
      <c r="DF78" s="38">
        <v>-3.3180654254883382</v>
      </c>
      <c r="DI78" s="38">
        <v>-2.4859663602874793</v>
      </c>
      <c r="DL78" s="38">
        <v>-2.3403265638861583</v>
      </c>
      <c r="DP78" s="211">
        <v>-2.3171404528889448</v>
      </c>
      <c r="DQ78" s="212"/>
      <c r="DR78" s="212"/>
      <c r="DS78" s="211">
        <v>-2.1639125239046915</v>
      </c>
      <c r="DT78" s="212"/>
      <c r="DU78" s="212"/>
      <c r="DV78" s="211">
        <v>-1.4891563683847866</v>
      </c>
      <c r="DY78" s="211">
        <v>-1.4583337959232614</v>
      </c>
      <c r="EC78" s="211">
        <v>-2.5390670645432047</v>
      </c>
      <c r="EF78" s="211">
        <v>-2.1340101821829345</v>
      </c>
      <c r="EG78" s="211"/>
      <c r="EH78" s="211"/>
      <c r="EI78" s="211">
        <v>-1.5589557696161505</v>
      </c>
      <c r="EJ78" s="211"/>
      <c r="EK78" s="211"/>
      <c r="EL78" s="211">
        <v>-1.4120818629717646</v>
      </c>
      <c r="EP78" s="211">
        <v>-2.5528344363229296</v>
      </c>
      <c r="ES78" s="211">
        <v>-2.1513589622268099</v>
      </c>
    </row>
    <row r="79" spans="1:155" ht="12.75" customHeight="1">
      <c r="A79" s="118" t="s">
        <v>32</v>
      </c>
      <c r="B79" s="118"/>
      <c r="C79" s="118"/>
      <c r="D79" s="118"/>
      <c r="E79" s="118"/>
      <c r="F79" s="118"/>
      <c r="G79" s="118"/>
      <c r="H79" s="118"/>
      <c r="I79" s="118"/>
      <c r="J79" s="118"/>
      <c r="K79" s="118"/>
      <c r="L79" s="118"/>
      <c r="M79" s="118"/>
      <c r="N79" s="38"/>
      <c r="O79" s="38"/>
      <c r="P79" s="38">
        <v>9.6755351868111727</v>
      </c>
      <c r="Q79" s="38"/>
      <c r="R79" s="38"/>
      <c r="S79" s="38">
        <v>10.533982296238833</v>
      </c>
      <c r="T79" s="38"/>
      <c r="U79" s="38"/>
      <c r="V79" s="38">
        <v>17.86752581665829</v>
      </c>
      <c r="W79" s="38"/>
      <c r="X79" s="38"/>
      <c r="Y79" s="38">
        <v>18.249862810060218</v>
      </c>
      <c r="AA79" s="87"/>
      <c r="AB79" s="87"/>
      <c r="AC79" s="87">
        <v>8.2468649126308353</v>
      </c>
      <c r="AD79" s="38"/>
      <c r="AE79" s="38"/>
      <c r="AF79" s="38">
        <v>9.5513241527879291</v>
      </c>
      <c r="AG79" s="38"/>
      <c r="AH79" s="87"/>
      <c r="AI79" s="38">
        <v>16.020064419033751</v>
      </c>
      <c r="AJ79" s="87"/>
      <c r="AK79" s="87"/>
      <c r="AL79" s="87">
        <v>16.308446804234126</v>
      </c>
      <c r="AM79" s="87"/>
      <c r="AN79" s="87"/>
      <c r="AO79" s="87"/>
      <c r="AP79" s="87">
        <v>8.0076450190112833</v>
      </c>
      <c r="AQ79" s="87"/>
      <c r="AR79" s="38"/>
      <c r="AS79" s="87">
        <v>10.419958195666553</v>
      </c>
      <c r="AT79" s="38"/>
      <c r="AU79" s="38"/>
      <c r="AV79" s="38">
        <v>17.328904855424891</v>
      </c>
      <c r="AW79" s="38"/>
      <c r="AX79" s="38"/>
      <c r="AY79" s="38">
        <v>16.911795740519874</v>
      </c>
      <c r="AZ79" s="38"/>
      <c r="BA79" s="38"/>
      <c r="BB79" s="38"/>
      <c r="BC79" s="38">
        <v>7.617588034028369</v>
      </c>
      <c r="BE79" s="38"/>
      <c r="BF79" s="38">
        <v>9.3735591182476288</v>
      </c>
      <c r="BG79" s="38"/>
      <c r="BI79" s="38">
        <v>16.216879553733772</v>
      </c>
      <c r="BL79" s="38">
        <v>17.402659406978071</v>
      </c>
      <c r="BN79" s="38"/>
      <c r="BO79" s="38"/>
      <c r="BP79" s="143"/>
      <c r="BQ79" s="143"/>
      <c r="BR79" s="143"/>
      <c r="BS79" s="143"/>
      <c r="BT79" s="143"/>
      <c r="BU79" s="143"/>
      <c r="BV79" s="143"/>
      <c r="BW79" s="143"/>
      <c r="BX79" s="143"/>
      <c r="BY79" s="132">
        <v>20.3</v>
      </c>
      <c r="CL79" s="132">
        <v>19.100000000000001</v>
      </c>
      <c r="CP79" s="38">
        <v>6.9352900416553966</v>
      </c>
      <c r="CQ79" s="38"/>
      <c r="CS79" s="38">
        <v>12.639030546114927</v>
      </c>
      <c r="CU79" s="38"/>
      <c r="CV79" s="211">
        <v>30.806439697052411</v>
      </c>
      <c r="CW79" s="168"/>
      <c r="CX79" s="168"/>
      <c r="CY79" s="168">
        <v>19.0520147784942</v>
      </c>
      <c r="DC79" s="38">
        <v>7.1686530373318584</v>
      </c>
      <c r="DF79" s="38">
        <v>12.253824679184881</v>
      </c>
      <c r="DI79" s="38">
        <v>29.612007194518124</v>
      </c>
      <c r="DL79" s="38">
        <v>20.437651781646792</v>
      </c>
      <c r="DP79" s="211">
        <v>6.7442435133711855</v>
      </c>
      <c r="DQ79" s="212"/>
      <c r="DR79" s="212"/>
      <c r="DS79" s="211">
        <v>10.813196197087388</v>
      </c>
      <c r="DT79" s="212"/>
      <c r="DU79" s="212"/>
      <c r="DV79" s="211">
        <v>25.899312819902821</v>
      </c>
      <c r="DY79" s="211">
        <v>19.365364061321007</v>
      </c>
      <c r="EC79" s="211">
        <v>6.2782852135537111</v>
      </c>
      <c r="EF79" s="211">
        <v>11.235961892158869</v>
      </c>
      <c r="EG79" s="211"/>
      <c r="EH79" s="211"/>
      <c r="EI79" s="211">
        <v>24.920904542264449</v>
      </c>
      <c r="EJ79" s="211"/>
      <c r="EK79" s="211"/>
      <c r="EL79" s="211">
        <v>16.32103982103995</v>
      </c>
      <c r="EP79" s="211">
        <v>5.577196924799158</v>
      </c>
      <c r="ES79" s="211">
        <v>10.075392700742526</v>
      </c>
    </row>
    <row r="80" spans="1:155" ht="12.75" customHeight="1">
      <c r="A80" s="118" t="s">
        <v>44</v>
      </c>
      <c r="B80" s="118"/>
      <c r="C80" s="118"/>
      <c r="D80" s="118"/>
      <c r="E80" s="118"/>
      <c r="F80" s="118"/>
      <c r="G80" s="118"/>
      <c r="H80" s="118"/>
      <c r="I80" s="118"/>
      <c r="J80" s="118"/>
      <c r="K80" s="118"/>
      <c r="L80" s="118"/>
      <c r="M80" s="118"/>
      <c r="N80" s="38"/>
      <c r="O80" s="38"/>
      <c r="P80" s="38">
        <v>23.670722703820545</v>
      </c>
      <c r="Q80" s="38"/>
      <c r="R80" s="38"/>
      <c r="S80" s="38">
        <v>19.695176317983375</v>
      </c>
      <c r="T80" s="38"/>
      <c r="U80" s="38"/>
      <c r="V80" s="38">
        <v>15.781880188470943</v>
      </c>
      <c r="W80" s="38"/>
      <c r="X80" s="38"/>
      <c r="Y80" s="38">
        <v>14.97077081090892</v>
      </c>
      <c r="AA80" s="87"/>
      <c r="AB80" s="87"/>
      <c r="AC80" s="87">
        <v>21.408962808718019</v>
      </c>
      <c r="AD80" s="38"/>
      <c r="AE80" s="38"/>
      <c r="AF80" s="38">
        <v>17.54794905832701</v>
      </c>
      <c r="AG80" s="38"/>
      <c r="AH80" s="87"/>
      <c r="AI80" s="38">
        <v>13.826051782511675</v>
      </c>
      <c r="AJ80" s="87"/>
      <c r="AK80" s="87"/>
      <c r="AL80" s="87">
        <v>13.293613893911926</v>
      </c>
      <c r="AM80" s="87"/>
      <c r="AN80" s="87"/>
      <c r="AO80" s="87"/>
      <c r="AP80" s="87">
        <v>17.521347441689215</v>
      </c>
      <c r="AQ80" s="87"/>
      <c r="AR80" s="38"/>
      <c r="AS80" s="87">
        <v>15.702737575039924</v>
      </c>
      <c r="AT80" s="38"/>
      <c r="AU80" s="38"/>
      <c r="AV80" s="38">
        <v>13.384832145991091</v>
      </c>
      <c r="AW80" s="38"/>
      <c r="AY80" s="38">
        <v>13.412689697232441</v>
      </c>
      <c r="BC80" s="38">
        <v>20.325175678114345</v>
      </c>
      <c r="BE80" s="38"/>
      <c r="BF80" s="38">
        <v>18.024609293944359</v>
      </c>
      <c r="BG80" s="38"/>
      <c r="BI80" s="38">
        <v>15.079361239487321</v>
      </c>
      <c r="BJ80" s="38"/>
      <c r="BK80" s="38"/>
      <c r="BL80" s="38">
        <v>14.822769505172692</v>
      </c>
      <c r="BN80" s="38"/>
      <c r="BO80" s="38"/>
      <c r="BP80" s="143"/>
      <c r="BQ80" s="143"/>
      <c r="BR80" s="143"/>
      <c r="BS80" s="143"/>
      <c r="BT80" s="143"/>
      <c r="BU80" s="143"/>
      <c r="BV80" s="143"/>
      <c r="BW80" s="143"/>
      <c r="BX80" s="143"/>
      <c r="BY80" s="132">
        <v>17.100000000000001</v>
      </c>
      <c r="CL80" s="132">
        <v>17.2</v>
      </c>
      <c r="CP80" s="38">
        <v>22.980909165654602</v>
      </c>
      <c r="CQ80" s="38"/>
      <c r="CS80" s="38">
        <v>18.16648039520118</v>
      </c>
      <c r="CU80" s="38"/>
      <c r="CV80" s="211">
        <v>13.963250612995266</v>
      </c>
      <c r="CW80" s="168"/>
      <c r="CX80" s="168"/>
      <c r="CY80" s="168">
        <v>17.114882154604402</v>
      </c>
      <c r="DC80" s="38">
        <v>22.430372877952202</v>
      </c>
      <c r="DF80" s="38">
        <v>18.566934774069278</v>
      </c>
      <c r="DI80" s="38">
        <v>15.052404048978573</v>
      </c>
      <c r="DL80" s="38">
        <v>16.126727613384531</v>
      </c>
      <c r="DP80" s="211">
        <v>20.059800926732972</v>
      </c>
      <c r="DQ80" s="212"/>
      <c r="DR80" s="212"/>
      <c r="DS80" s="211">
        <v>17.999436090958582</v>
      </c>
      <c r="DT80" s="212"/>
      <c r="DU80" s="212"/>
      <c r="DV80" s="211">
        <v>14.27680480477323</v>
      </c>
      <c r="DY80" s="211">
        <v>14.757916132729045</v>
      </c>
      <c r="EC80" s="211">
        <v>20.081335882271638</v>
      </c>
      <c r="EF80" s="211">
        <v>18.098350057485181</v>
      </c>
      <c r="EG80" s="211"/>
      <c r="EH80" s="211"/>
      <c r="EI80" s="211">
        <v>14.692047454446575</v>
      </c>
      <c r="EJ80" s="211"/>
      <c r="EK80" s="211"/>
      <c r="EL80" s="211">
        <v>15.731869692537195</v>
      </c>
      <c r="EP80" s="211">
        <v>22.172735167259326</v>
      </c>
      <c r="ES80" s="211">
        <v>18.203599790690163</v>
      </c>
    </row>
    <row r="81" spans="1:155" ht="12.75" customHeight="1">
      <c r="A81" s="119" t="s">
        <v>33</v>
      </c>
      <c r="B81" s="119"/>
      <c r="C81" s="119"/>
      <c r="D81" s="119"/>
      <c r="E81" s="119"/>
      <c r="F81" s="119"/>
      <c r="G81" s="119"/>
      <c r="H81" s="119"/>
      <c r="I81" s="119"/>
      <c r="J81" s="119"/>
      <c r="K81" s="119"/>
      <c r="L81" s="119"/>
      <c r="M81" s="119"/>
      <c r="N81" s="38"/>
      <c r="O81" s="38"/>
      <c r="P81" s="122">
        <v>8.6742649167905626</v>
      </c>
      <c r="Q81" s="38"/>
      <c r="R81" s="38"/>
      <c r="S81" s="38">
        <v>20.267593101344481</v>
      </c>
      <c r="T81" s="38"/>
      <c r="U81" s="38"/>
      <c r="V81" s="38">
        <v>23.968309712442185</v>
      </c>
      <c r="W81" s="38"/>
      <c r="X81" s="38"/>
      <c r="Y81" s="38">
        <v>24.538515650893785</v>
      </c>
      <c r="AA81" s="87"/>
      <c r="AB81" s="87"/>
      <c r="AC81" s="87">
        <v>8.6129709793827889</v>
      </c>
      <c r="AD81" s="38"/>
      <c r="AE81" s="38"/>
      <c r="AF81" s="38">
        <v>19.508347331836383</v>
      </c>
      <c r="AG81" s="38"/>
      <c r="AH81" s="87"/>
      <c r="AI81" s="38">
        <v>25.376490917241767</v>
      </c>
      <c r="AJ81" s="87"/>
      <c r="AK81" s="87"/>
      <c r="AL81" s="87">
        <v>25.307752229706427</v>
      </c>
      <c r="AM81" s="87"/>
      <c r="AN81" s="87"/>
      <c r="AO81" s="87"/>
      <c r="AP81" s="87">
        <v>9.6715525820875516</v>
      </c>
      <c r="AQ81" s="87"/>
      <c r="AR81" s="87"/>
      <c r="AS81" s="87">
        <v>14.470383914056036</v>
      </c>
      <c r="AT81" s="87"/>
      <c r="AU81" s="38"/>
      <c r="AV81" s="87">
        <v>17.27554488085244</v>
      </c>
      <c r="AW81" s="38"/>
      <c r="AX81" s="38"/>
      <c r="AY81" s="38">
        <v>18.602823801879971</v>
      </c>
      <c r="AZ81" s="38"/>
      <c r="BA81" s="38"/>
      <c r="BB81" s="38"/>
      <c r="BC81" s="38">
        <v>9.050744200513817</v>
      </c>
      <c r="BE81" s="38"/>
      <c r="BF81" s="38">
        <v>13.873029847879998</v>
      </c>
      <c r="BG81" s="38"/>
      <c r="BI81" s="38">
        <v>15.754029176660406</v>
      </c>
      <c r="BL81" s="139">
        <v>17.143557794584012</v>
      </c>
      <c r="BN81" s="38"/>
      <c r="BO81" s="38"/>
      <c r="BP81" s="143"/>
      <c r="BQ81" s="143"/>
      <c r="BR81" s="143"/>
      <c r="BS81" s="143"/>
      <c r="BT81" s="143"/>
      <c r="BU81" s="143"/>
      <c r="BV81" s="143"/>
      <c r="BW81" s="143"/>
      <c r="BX81" s="143"/>
      <c r="BY81" s="154">
        <v>13</v>
      </c>
      <c r="CL81" s="154">
        <v>12.2</v>
      </c>
      <c r="CP81" s="38">
        <v>5.4862652352808778</v>
      </c>
      <c r="CQ81" s="38"/>
      <c r="CS81" s="38">
        <v>10.944890919896091</v>
      </c>
      <c r="CU81" s="38"/>
      <c r="CV81" s="211">
        <v>8.9957609423446154</v>
      </c>
      <c r="CW81" s="195"/>
      <c r="CX81" s="195"/>
      <c r="CY81" s="195">
        <v>13.594096380164549</v>
      </c>
      <c r="DC81" s="38">
        <v>5.1525198593671195</v>
      </c>
      <c r="DF81" s="38">
        <v>10.275305480692277</v>
      </c>
      <c r="DI81" s="38">
        <v>7.4812161410902647</v>
      </c>
      <c r="DL81" s="38">
        <v>12.637529157489835</v>
      </c>
      <c r="DP81" s="211">
        <v>5.0031624283433898</v>
      </c>
      <c r="DQ81" s="212"/>
      <c r="DR81" s="212"/>
      <c r="DS81" s="211">
        <v>10.174032777643809</v>
      </c>
      <c r="DT81" s="212"/>
      <c r="DU81" s="212"/>
      <c r="DV81" s="211">
        <v>8.5195414067657325</v>
      </c>
      <c r="DY81" s="211">
        <v>12.46893844689165</v>
      </c>
      <c r="EC81" s="211">
        <v>4.8014612547800946</v>
      </c>
      <c r="EF81" s="211">
        <v>8.9705897524094276</v>
      </c>
      <c r="EG81" s="211"/>
      <c r="EH81" s="211"/>
      <c r="EI81" s="211">
        <v>7.4836979994842405</v>
      </c>
      <c r="EJ81" s="211"/>
      <c r="EK81" s="211"/>
      <c r="EL81" s="211">
        <v>9.7319032303809543</v>
      </c>
      <c r="EP81" s="211">
        <v>3.8631387462136186</v>
      </c>
      <c r="ES81" s="211">
        <v>7.2144846657971424</v>
      </c>
    </row>
    <row r="82" spans="1:155" ht="12.75" customHeight="1">
      <c r="A82" s="138" t="s">
        <v>91</v>
      </c>
      <c r="B82" s="119"/>
      <c r="C82" s="119"/>
      <c r="D82" s="119"/>
      <c r="E82" s="119"/>
      <c r="F82" s="119"/>
      <c r="G82" s="119"/>
      <c r="H82" s="119"/>
      <c r="I82" s="119"/>
      <c r="J82" s="119"/>
      <c r="K82" s="119"/>
      <c r="L82" s="119"/>
      <c r="M82" s="119"/>
      <c r="N82" s="38"/>
      <c r="O82" s="38"/>
      <c r="P82" s="155">
        <v>46.44654811286857</v>
      </c>
      <c r="Q82" s="38"/>
      <c r="R82" s="38"/>
      <c r="S82" s="155">
        <v>39.9909933314445</v>
      </c>
      <c r="T82" s="38"/>
      <c r="U82" s="38"/>
      <c r="V82" s="155">
        <v>34.163655850005021</v>
      </c>
      <c r="W82" s="38"/>
      <c r="X82" s="38"/>
      <c r="Y82" s="155">
        <v>33.630723738613042</v>
      </c>
      <c r="AA82" s="87"/>
      <c r="AB82" s="87"/>
      <c r="AC82" s="155">
        <v>48.345664098076234</v>
      </c>
      <c r="AD82" s="38"/>
      <c r="AE82" s="38"/>
      <c r="AF82" s="155">
        <v>41.600241387250364</v>
      </c>
      <c r="AG82" s="38"/>
      <c r="AH82" s="87"/>
      <c r="AI82" s="155">
        <v>35.000782937090115</v>
      </c>
      <c r="AJ82" s="87"/>
      <c r="AK82" s="87"/>
      <c r="AL82" s="155">
        <v>35.273848562799081</v>
      </c>
      <c r="AM82" s="87"/>
      <c r="AN82" s="87"/>
      <c r="AO82" s="87"/>
      <c r="AP82" s="155">
        <v>53.605217439911023</v>
      </c>
      <c r="AQ82" s="87"/>
      <c r="AR82" s="38"/>
      <c r="AS82" s="155">
        <v>49.414250209568024</v>
      </c>
      <c r="AT82" s="38"/>
      <c r="AU82" s="38"/>
      <c r="AV82" s="155">
        <v>42.792890317737928</v>
      </c>
      <c r="AW82" s="38"/>
      <c r="AY82" s="155">
        <v>42.097333535774659</v>
      </c>
      <c r="AZ82" s="38"/>
      <c r="BC82" s="155">
        <v>50.922050516582985</v>
      </c>
      <c r="BE82" s="38"/>
      <c r="BF82" s="155">
        <v>46.584976885589469</v>
      </c>
      <c r="BG82" s="38"/>
      <c r="BI82" s="155">
        <v>42.411240892108054</v>
      </c>
      <c r="BL82" s="155">
        <v>41.036360185510915</v>
      </c>
      <c r="BO82" s="38"/>
      <c r="BP82" s="143"/>
      <c r="BQ82" s="143"/>
      <c r="BR82" s="143"/>
      <c r="BS82" s="143"/>
      <c r="BT82" s="143"/>
      <c r="BU82" s="143"/>
      <c r="BV82" s="143"/>
      <c r="BW82" s="143"/>
      <c r="BX82" s="143"/>
      <c r="BY82" s="156">
        <v>41.2</v>
      </c>
      <c r="CL82" s="154">
        <v>42.7</v>
      </c>
      <c r="CP82" s="38">
        <v>52.137680126303309</v>
      </c>
      <c r="CQ82" s="38"/>
      <c r="CS82" s="38">
        <v>48.289657143193374</v>
      </c>
      <c r="CU82" s="38"/>
      <c r="CV82" s="211">
        <v>38.285759612535671</v>
      </c>
      <c r="CW82" s="195"/>
      <c r="CX82" s="195"/>
      <c r="CY82" s="195">
        <v>42.817491842469771</v>
      </c>
      <c r="DC82" s="38">
        <v>53.592511543488719</v>
      </c>
      <c r="DF82" s="38">
        <v>47.894226063064401</v>
      </c>
      <c r="DI82" s="38">
        <v>39.496587380115486</v>
      </c>
      <c r="DL82" s="38">
        <v>43.176554809230375</v>
      </c>
      <c r="DP82" s="211">
        <v>56.512069706674509</v>
      </c>
      <c r="DQ82" s="212"/>
      <c r="DR82" s="212"/>
      <c r="DS82" s="211">
        <v>52.145742826823962</v>
      </c>
      <c r="DT82" s="212"/>
      <c r="DU82" s="212"/>
      <c r="DV82" s="211">
        <v>42.773187194062253</v>
      </c>
      <c r="DY82" s="211">
        <v>45.796011033716738</v>
      </c>
      <c r="EC82" s="211">
        <v>59.004861278506681</v>
      </c>
      <c r="EF82" s="211">
        <v>53.533074988737951</v>
      </c>
      <c r="EG82" s="211"/>
      <c r="EH82" s="211"/>
      <c r="EI82" s="211">
        <v>45.752633933824143</v>
      </c>
      <c r="EJ82" s="211"/>
      <c r="EK82" s="211"/>
      <c r="EL82" s="211">
        <v>49.835380682254801</v>
      </c>
      <c r="EP82" s="211">
        <v>57.731247119057016</v>
      </c>
      <c r="ES82" s="211">
        <v>55.905343889993176</v>
      </c>
    </row>
    <row r="83" spans="1:155" ht="6" customHeight="1">
      <c r="A83" s="116"/>
      <c r="B83" s="116"/>
      <c r="C83" s="116"/>
      <c r="D83" s="116"/>
      <c r="E83" s="116"/>
      <c r="F83" s="116"/>
      <c r="G83" s="116"/>
      <c r="H83" s="116"/>
      <c r="I83" s="116"/>
      <c r="J83" s="116"/>
      <c r="K83" s="116"/>
      <c r="L83" s="116"/>
      <c r="M83" s="116"/>
      <c r="N83" s="38"/>
      <c r="O83" s="38"/>
      <c r="P83" s="38"/>
      <c r="Q83" s="38"/>
      <c r="R83" s="38"/>
      <c r="S83" s="38"/>
      <c r="T83" s="38"/>
      <c r="U83" s="38"/>
      <c r="V83" s="87"/>
      <c r="W83" s="38"/>
      <c r="X83" s="38"/>
      <c r="Y83" s="38"/>
      <c r="AA83" s="87"/>
      <c r="AB83" s="87"/>
      <c r="AC83" s="114"/>
      <c r="AD83" s="87"/>
      <c r="AE83" s="87"/>
      <c r="AF83" s="87"/>
      <c r="AG83" s="87"/>
      <c r="AH83" s="87"/>
      <c r="AI83" s="87"/>
      <c r="AJ83" s="87"/>
      <c r="AK83" s="87"/>
      <c r="AL83" s="87"/>
      <c r="AM83" s="87"/>
      <c r="AN83" s="87"/>
      <c r="AO83" s="87"/>
      <c r="AP83" s="87"/>
      <c r="AQ83" s="87"/>
      <c r="BO83" s="38"/>
      <c r="CB83" s="102"/>
      <c r="CC83" s="102"/>
      <c r="CD83" s="102"/>
      <c r="CE83" s="102"/>
      <c r="CF83" s="102"/>
      <c r="CG83" s="102"/>
      <c r="CH83" s="102"/>
      <c r="CI83" s="102"/>
      <c r="CJ83" s="102"/>
      <c r="CK83" s="102"/>
      <c r="CL83" s="102"/>
      <c r="CN83" s="102"/>
      <c r="CO83" s="102"/>
      <c r="CP83" s="102"/>
      <c r="CQ83" s="102"/>
      <c r="CR83" s="102"/>
      <c r="CS83" s="102"/>
      <c r="CT83" s="102"/>
      <c r="CU83" s="102"/>
      <c r="CV83" s="102"/>
      <c r="CW83" s="102"/>
      <c r="CX83" s="102"/>
      <c r="CY83" s="102"/>
      <c r="CZ83" s="102"/>
      <c r="DA83" s="102"/>
      <c r="DB83" s="102"/>
      <c r="DC83" s="102"/>
      <c r="DD83" s="102"/>
      <c r="DE83" s="102"/>
      <c r="DF83" s="102"/>
      <c r="DG83" s="102"/>
      <c r="DH83" s="102"/>
    </row>
    <row r="84" spans="1:155" ht="12.75" customHeight="1">
      <c r="A84" s="123"/>
      <c r="B84" s="123"/>
      <c r="C84" s="123"/>
      <c r="D84" s="123"/>
      <c r="E84" s="123"/>
      <c r="F84" s="123"/>
      <c r="G84" s="123"/>
      <c r="H84" s="123"/>
      <c r="I84" s="123"/>
      <c r="J84" s="123"/>
      <c r="K84" s="123"/>
      <c r="L84" s="123"/>
      <c r="M84" s="123"/>
      <c r="N84" s="99"/>
      <c r="O84" s="99"/>
      <c r="P84" s="99"/>
      <c r="Q84" s="99"/>
      <c r="R84" s="99"/>
      <c r="S84" s="99"/>
      <c r="T84" s="99"/>
      <c r="U84" s="99"/>
      <c r="V84" s="99"/>
      <c r="W84" s="99"/>
      <c r="X84" s="99"/>
      <c r="Y84" s="99"/>
      <c r="Z84" s="99"/>
      <c r="AA84" s="124"/>
      <c r="AB84" s="124"/>
      <c r="AC84" s="124"/>
      <c r="AD84" s="124"/>
      <c r="AE84" s="124"/>
      <c r="AF84" s="124"/>
      <c r="AG84" s="124"/>
      <c r="AH84" s="124"/>
      <c r="AI84" s="124"/>
      <c r="AJ84" s="124"/>
      <c r="AK84" s="124"/>
      <c r="AL84" s="124"/>
      <c r="AM84" s="124"/>
      <c r="AN84" s="124"/>
      <c r="AO84" s="124"/>
      <c r="AP84" s="124"/>
      <c r="AQ84" s="124"/>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c r="DZ84" s="99"/>
      <c r="EA84" s="99"/>
      <c r="EB84" s="99"/>
      <c r="EC84" s="99"/>
      <c r="ED84" s="99"/>
      <c r="EE84" s="99"/>
      <c r="EF84" s="99"/>
      <c r="EG84" s="99"/>
      <c r="EH84" s="99"/>
      <c r="EI84" s="99"/>
      <c r="EJ84" s="99"/>
      <c r="EK84" s="99"/>
      <c r="EL84" s="99"/>
      <c r="EM84" s="99"/>
      <c r="EN84" s="99"/>
      <c r="EO84" s="99"/>
      <c r="EP84" s="99"/>
      <c r="EQ84" s="99"/>
      <c r="ER84" s="99"/>
      <c r="ES84" s="99"/>
      <c r="ET84" s="99"/>
      <c r="EU84" s="99"/>
      <c r="EV84" s="99"/>
      <c r="EW84" s="99"/>
      <c r="EX84" s="99"/>
      <c r="EY84" s="99"/>
    </row>
    <row r="85" spans="1:155" ht="6" customHeight="1">
      <c r="N85" s="38"/>
      <c r="O85" s="38"/>
      <c r="P85" s="38"/>
      <c r="Q85" s="38"/>
      <c r="R85" s="38"/>
      <c r="S85" s="38"/>
      <c r="T85" s="38"/>
      <c r="U85" s="38"/>
      <c r="V85" s="38"/>
      <c r="AA85" s="87"/>
      <c r="AB85" s="87"/>
      <c r="AC85" s="87"/>
      <c r="AD85" s="87"/>
      <c r="AE85" s="87"/>
      <c r="AF85" s="87"/>
      <c r="AG85" s="87"/>
      <c r="AH85" s="87"/>
      <c r="AI85" s="87"/>
      <c r="AJ85" s="87"/>
      <c r="AK85" s="87"/>
      <c r="AL85" s="87"/>
      <c r="AM85" s="87"/>
      <c r="AN85" s="87"/>
      <c r="AO85" s="87"/>
      <c r="AP85" s="87"/>
      <c r="AQ85" s="87"/>
    </row>
    <row r="86" spans="1:155" ht="12.75" customHeight="1">
      <c r="A86" s="113" t="s">
        <v>69</v>
      </c>
      <c r="B86" s="113"/>
      <c r="C86" s="113"/>
      <c r="D86" s="113"/>
      <c r="E86" s="113"/>
      <c r="F86" s="113"/>
      <c r="G86" s="113"/>
      <c r="H86" s="113"/>
      <c r="I86" s="113"/>
      <c r="J86" s="113"/>
      <c r="K86" s="113"/>
      <c r="L86" s="113"/>
      <c r="M86" s="113"/>
      <c r="N86" s="38"/>
      <c r="O86" s="38"/>
      <c r="P86" s="38"/>
      <c r="Q86" s="38"/>
      <c r="R86" s="38"/>
      <c r="S86" s="38"/>
      <c r="T86" s="38"/>
      <c r="U86" s="38"/>
      <c r="V86" s="38"/>
      <c r="AA86" s="87"/>
      <c r="AB86" s="87"/>
      <c r="AD86" s="87"/>
      <c r="AE86" s="87"/>
      <c r="AF86" s="87"/>
      <c r="AG86" s="87"/>
      <c r="AH86" s="87"/>
      <c r="AI86" s="87"/>
      <c r="AJ86" s="87"/>
      <c r="AK86" s="87"/>
      <c r="AL86" s="87"/>
      <c r="AM86" s="87"/>
      <c r="AN86" s="87"/>
      <c r="AO86" s="87"/>
      <c r="AP86" s="87"/>
      <c r="AQ86" s="87"/>
    </row>
    <row r="87" spans="1:155" ht="28.5" customHeight="1">
      <c r="A87" s="294" t="s">
        <v>141</v>
      </c>
      <c r="B87" s="294"/>
      <c r="C87" s="294"/>
      <c r="D87" s="294"/>
      <c r="E87" s="29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c r="AL87" s="294"/>
      <c r="AM87" s="294"/>
      <c r="AN87" s="294"/>
      <c r="AO87" s="294"/>
      <c r="AP87" s="294"/>
      <c r="AQ87" s="294"/>
      <c r="AR87" s="294"/>
      <c r="AS87" s="294"/>
      <c r="AT87" s="294"/>
      <c r="AU87" s="294"/>
      <c r="AV87" s="294"/>
      <c r="AW87" s="294"/>
      <c r="AX87" s="294"/>
      <c r="AY87" s="294"/>
      <c r="AZ87" s="294"/>
      <c r="BA87" s="294"/>
      <c r="BB87" s="294"/>
      <c r="BC87" s="294"/>
      <c r="BD87" s="294"/>
      <c r="BE87" s="294"/>
      <c r="BF87" s="294"/>
      <c r="BG87" s="294"/>
      <c r="BH87" s="294"/>
      <c r="BI87" s="294"/>
      <c r="BJ87" s="294"/>
      <c r="BK87" s="294"/>
      <c r="BL87" s="294"/>
      <c r="BM87" s="294"/>
      <c r="BN87" s="294"/>
      <c r="BO87" s="294"/>
      <c r="BP87" s="294"/>
      <c r="BQ87" s="294"/>
      <c r="BR87" s="294"/>
      <c r="BS87" s="294"/>
      <c r="BT87" s="294"/>
      <c r="BU87" s="294"/>
      <c r="BV87" s="294"/>
      <c r="BW87" s="294"/>
      <c r="BX87" s="294"/>
      <c r="BY87" s="294"/>
      <c r="BZ87" s="294"/>
      <c r="CA87" s="294"/>
      <c r="CB87" s="294"/>
      <c r="CC87" s="294"/>
      <c r="CD87" s="294"/>
      <c r="CE87" s="294"/>
      <c r="CF87" s="294"/>
      <c r="CG87" s="294"/>
      <c r="CH87" s="294"/>
      <c r="CI87" s="294"/>
      <c r="CJ87" s="294"/>
      <c r="CK87" s="294"/>
      <c r="CL87" s="294"/>
      <c r="CM87" s="294"/>
      <c r="CN87" s="294"/>
      <c r="CO87" s="294"/>
      <c r="CP87" s="294"/>
      <c r="CQ87" s="294"/>
      <c r="CR87" s="294"/>
      <c r="CS87" s="294"/>
      <c r="CT87" s="294"/>
      <c r="CU87" s="294"/>
      <c r="CV87" s="294"/>
      <c r="CW87" s="294"/>
      <c r="CX87" s="294"/>
      <c r="CY87" s="294"/>
      <c r="CZ87" s="294"/>
      <c r="DA87" s="294"/>
      <c r="DB87" s="294"/>
      <c r="DC87" s="294"/>
      <c r="DD87" s="294"/>
      <c r="DE87" s="294"/>
      <c r="DF87" s="294"/>
      <c r="DG87" s="294"/>
      <c r="DH87" s="294"/>
      <c r="DI87" s="294"/>
      <c r="DJ87" s="294"/>
      <c r="DK87" s="294"/>
      <c r="DL87" s="294"/>
      <c r="DM87" s="294"/>
      <c r="DN87" s="294"/>
      <c r="DO87" s="294"/>
      <c r="DP87" s="294"/>
      <c r="DQ87" s="294"/>
      <c r="DR87" s="294"/>
      <c r="DS87" s="294"/>
      <c r="DT87" s="294"/>
      <c r="DU87" s="294"/>
      <c r="DV87" s="294"/>
      <c r="DW87" s="294"/>
      <c r="DX87" s="294"/>
      <c r="DY87" s="294"/>
      <c r="DZ87" s="294"/>
      <c r="EA87" s="294"/>
      <c r="EB87" s="294"/>
      <c r="EC87" s="294"/>
      <c r="ED87" s="294"/>
      <c r="EE87" s="294"/>
      <c r="EF87" s="294"/>
      <c r="EG87" s="294"/>
      <c r="EH87" s="294"/>
      <c r="EI87" s="294"/>
      <c r="EJ87" s="294"/>
      <c r="EK87" s="294"/>
      <c r="EL87" s="294"/>
      <c r="EM87" s="294"/>
      <c r="EN87" s="294"/>
      <c r="EO87" s="294"/>
      <c r="EP87" s="294"/>
      <c r="EQ87" s="294"/>
      <c r="ER87" s="294"/>
      <c r="ES87" s="294"/>
      <c r="ET87" s="294"/>
      <c r="EU87" s="294"/>
      <c r="EV87" s="294"/>
      <c r="EW87" s="294"/>
      <c r="EX87" s="294"/>
      <c r="EY87" s="294"/>
    </row>
    <row r="88" spans="1:155">
      <c r="A88" s="294" t="s">
        <v>110</v>
      </c>
      <c r="B88" s="294"/>
      <c r="C88" s="294"/>
      <c r="D88" s="294"/>
      <c r="E88" s="294"/>
      <c r="F88" s="294"/>
      <c r="G88" s="294"/>
      <c r="H88" s="294"/>
      <c r="I88" s="29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c r="AH88" s="294"/>
      <c r="AI88" s="294"/>
      <c r="AJ88" s="294"/>
      <c r="AK88" s="294"/>
      <c r="AL88" s="294"/>
      <c r="AM88" s="294"/>
      <c r="AN88" s="294"/>
      <c r="AO88" s="294"/>
      <c r="AP88" s="294"/>
      <c r="AQ88" s="294"/>
      <c r="AR88" s="294"/>
      <c r="AS88" s="294"/>
      <c r="AT88" s="294"/>
      <c r="AU88" s="294"/>
      <c r="AV88" s="294"/>
      <c r="AW88" s="294"/>
      <c r="AX88" s="294"/>
      <c r="AY88" s="294"/>
      <c r="AZ88" s="294"/>
      <c r="BA88" s="294"/>
      <c r="BB88" s="294"/>
      <c r="BC88" s="294"/>
      <c r="BD88" s="294"/>
      <c r="BE88" s="294"/>
      <c r="BF88" s="294"/>
      <c r="BG88" s="294"/>
      <c r="BH88" s="294"/>
      <c r="BI88" s="294"/>
      <c r="BJ88" s="294"/>
      <c r="BK88" s="294"/>
      <c r="BL88" s="294"/>
      <c r="BM88" s="294"/>
      <c r="BN88" s="294"/>
      <c r="BO88" s="294"/>
      <c r="BP88" s="294"/>
      <c r="BQ88" s="294"/>
      <c r="BR88" s="294"/>
      <c r="BS88" s="294"/>
      <c r="BT88" s="294"/>
      <c r="BU88" s="294"/>
      <c r="BV88" s="294"/>
      <c r="BW88" s="294"/>
      <c r="BX88" s="294"/>
      <c r="BY88" s="294"/>
      <c r="BZ88" s="294"/>
      <c r="CA88" s="294"/>
      <c r="CB88" s="294"/>
      <c r="CC88" s="294"/>
      <c r="CD88" s="294"/>
      <c r="CE88" s="294"/>
      <c r="CF88" s="294"/>
      <c r="CG88" s="294"/>
      <c r="CH88" s="294"/>
      <c r="CI88" s="294"/>
      <c r="CJ88" s="294"/>
      <c r="CK88" s="294"/>
      <c r="CL88" s="294"/>
      <c r="CM88" s="294"/>
      <c r="CN88" s="294"/>
      <c r="CO88" s="294"/>
      <c r="CP88" s="294"/>
      <c r="CQ88" s="294"/>
      <c r="CR88" s="294"/>
      <c r="CS88" s="294"/>
      <c r="CT88" s="294"/>
      <c r="CU88" s="294"/>
      <c r="CV88" s="294"/>
      <c r="CW88" s="294"/>
      <c r="CX88" s="294"/>
      <c r="CY88" s="294"/>
      <c r="CZ88" s="294"/>
      <c r="DA88" s="294"/>
      <c r="DB88" s="294"/>
      <c r="DC88" s="294"/>
      <c r="DD88" s="294"/>
      <c r="DE88" s="294"/>
      <c r="DF88" s="294"/>
      <c r="DG88" s="294"/>
      <c r="DH88" s="294"/>
      <c r="DI88" s="294"/>
      <c r="DJ88" s="294"/>
      <c r="DK88" s="294"/>
      <c r="DL88" s="294"/>
      <c r="DM88" s="294"/>
      <c r="DN88" s="294"/>
      <c r="DO88" s="294"/>
      <c r="DP88" s="294"/>
      <c r="DQ88" s="294"/>
      <c r="DR88" s="294"/>
      <c r="DS88" s="294"/>
      <c r="DT88" s="294"/>
      <c r="DU88" s="294"/>
      <c r="DV88" s="294"/>
      <c r="DW88" s="294"/>
      <c r="DX88" s="294"/>
      <c r="DY88" s="294"/>
      <c r="DZ88" s="294"/>
      <c r="EA88" s="294"/>
      <c r="EB88" s="294"/>
      <c r="EC88" s="294"/>
      <c r="ED88" s="294"/>
      <c r="EE88" s="294"/>
      <c r="EF88" s="294"/>
      <c r="EG88" s="294"/>
      <c r="EH88" s="294"/>
      <c r="EI88" s="294"/>
      <c r="EJ88" s="294"/>
      <c r="EK88" s="294"/>
      <c r="EL88" s="294"/>
      <c r="EM88" s="294"/>
      <c r="EN88" s="294"/>
      <c r="EO88" s="294"/>
      <c r="EP88" s="294"/>
      <c r="EQ88" s="294"/>
      <c r="ER88" s="294"/>
      <c r="ES88" s="294"/>
      <c r="ET88" s="294"/>
      <c r="EU88" s="294"/>
      <c r="EV88" s="294"/>
      <c r="EW88" s="294"/>
      <c r="EX88" s="294"/>
      <c r="EY88" s="294"/>
    </row>
    <row r="89" spans="1:155">
      <c r="A89" s="294" t="s">
        <v>109</v>
      </c>
      <c r="B89" s="294"/>
      <c r="C89" s="294"/>
      <c r="D89" s="294"/>
      <c r="E89" s="29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c r="AP89" s="294"/>
      <c r="AQ89" s="294"/>
      <c r="AR89" s="294"/>
      <c r="AS89" s="294"/>
      <c r="AT89" s="294"/>
      <c r="AU89" s="294"/>
      <c r="AV89" s="294"/>
      <c r="AW89" s="294"/>
      <c r="AX89" s="294"/>
      <c r="AY89" s="294"/>
      <c r="AZ89" s="294"/>
      <c r="BA89" s="294"/>
      <c r="BB89" s="294"/>
      <c r="BC89" s="294"/>
      <c r="BD89" s="294"/>
      <c r="BE89" s="294"/>
      <c r="BF89" s="294"/>
      <c r="BG89" s="294"/>
      <c r="BH89" s="294"/>
      <c r="BI89" s="294"/>
      <c r="BJ89" s="294"/>
      <c r="BK89" s="294"/>
      <c r="BL89" s="294"/>
      <c r="BM89" s="294"/>
      <c r="BN89" s="294"/>
      <c r="BO89" s="294"/>
      <c r="BP89" s="294"/>
      <c r="BQ89" s="294"/>
      <c r="BR89" s="294"/>
      <c r="BS89" s="294"/>
      <c r="BT89" s="294"/>
      <c r="BU89" s="294"/>
      <c r="BV89" s="294"/>
      <c r="BW89" s="294"/>
      <c r="BX89" s="294"/>
      <c r="BY89" s="294"/>
      <c r="BZ89" s="294"/>
      <c r="CA89" s="294"/>
      <c r="CB89" s="294"/>
      <c r="CC89" s="294"/>
      <c r="CD89" s="294"/>
      <c r="CE89" s="294"/>
      <c r="CF89" s="294"/>
      <c r="CG89" s="294"/>
      <c r="CH89" s="294"/>
      <c r="CI89" s="294"/>
      <c r="CJ89" s="294"/>
      <c r="CK89" s="294"/>
      <c r="CL89" s="294"/>
      <c r="CM89" s="294"/>
      <c r="CN89" s="294"/>
      <c r="CO89" s="294"/>
      <c r="CP89" s="294"/>
      <c r="CQ89" s="294"/>
      <c r="CR89" s="294"/>
      <c r="CS89" s="294"/>
      <c r="CT89" s="294"/>
      <c r="CU89" s="294"/>
      <c r="CV89" s="294"/>
      <c r="CW89" s="294"/>
      <c r="CX89" s="294"/>
      <c r="CY89" s="294"/>
      <c r="CZ89" s="294"/>
      <c r="DA89" s="294"/>
      <c r="DB89" s="294"/>
      <c r="DC89" s="294"/>
      <c r="DD89" s="294"/>
      <c r="DE89" s="294"/>
      <c r="DF89" s="294"/>
      <c r="DG89" s="294"/>
      <c r="DH89" s="294"/>
      <c r="DI89" s="294"/>
      <c r="DJ89" s="294"/>
      <c r="DK89" s="294"/>
      <c r="DL89" s="294"/>
      <c r="DM89" s="294"/>
      <c r="DN89" s="294"/>
      <c r="DO89" s="294"/>
      <c r="DP89" s="294"/>
      <c r="DQ89" s="294"/>
      <c r="DR89" s="294"/>
      <c r="DS89" s="294"/>
      <c r="DT89" s="294"/>
      <c r="DU89" s="294"/>
      <c r="DV89" s="294"/>
      <c r="DW89" s="294"/>
      <c r="DX89" s="294"/>
      <c r="DY89" s="294"/>
      <c r="DZ89" s="294"/>
      <c r="EA89" s="294"/>
      <c r="EB89" s="294"/>
      <c r="EC89" s="294"/>
      <c r="ED89" s="294"/>
      <c r="EE89" s="294"/>
      <c r="EF89" s="294"/>
      <c r="EG89" s="294"/>
      <c r="EH89" s="294"/>
      <c r="EI89" s="294"/>
      <c r="EJ89" s="294"/>
      <c r="EK89" s="294"/>
      <c r="EL89" s="294"/>
      <c r="EM89" s="294"/>
      <c r="EN89" s="294"/>
      <c r="EO89" s="294"/>
      <c r="EP89" s="294"/>
      <c r="EQ89" s="294"/>
      <c r="ER89" s="294"/>
      <c r="ES89" s="294"/>
      <c r="ET89" s="294"/>
      <c r="EU89" s="294"/>
      <c r="EV89" s="294"/>
      <c r="EW89" s="294"/>
      <c r="EX89" s="294"/>
      <c r="EY89" s="294"/>
    </row>
    <row r="90" spans="1:155" ht="12.75" customHeight="1">
      <c r="A90" s="248" t="s">
        <v>123</v>
      </c>
      <c r="B90" s="113"/>
      <c r="C90" s="113"/>
      <c r="D90" s="113"/>
      <c r="E90" s="113"/>
      <c r="F90" s="113"/>
      <c r="G90" s="113"/>
      <c r="H90" s="113"/>
      <c r="I90" s="113"/>
      <c r="J90" s="113"/>
      <c r="K90" s="113"/>
      <c r="L90" s="113"/>
      <c r="M90" s="113"/>
      <c r="N90" s="38"/>
      <c r="O90" s="38"/>
      <c r="P90" s="38"/>
      <c r="S90" s="38"/>
      <c r="V90" s="38"/>
      <c r="Y90" s="38"/>
      <c r="AD90" s="38"/>
      <c r="AE90" s="38"/>
      <c r="AF90" s="38"/>
      <c r="BL90" s="38"/>
    </row>
    <row r="91" spans="1:155" ht="12.75" customHeight="1">
      <c r="A91" s="294" t="s">
        <v>117</v>
      </c>
      <c r="B91" s="294"/>
      <c r="C91" s="294"/>
      <c r="D91" s="294"/>
      <c r="E91" s="29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94"/>
      <c r="AM91" s="294"/>
      <c r="AN91" s="294"/>
      <c r="AO91" s="294"/>
      <c r="AP91" s="294"/>
      <c r="AQ91" s="294"/>
      <c r="AR91" s="294"/>
      <c r="AS91" s="294"/>
      <c r="AT91" s="294"/>
      <c r="AU91" s="294"/>
      <c r="AV91" s="294"/>
      <c r="AW91" s="294"/>
      <c r="AX91" s="294"/>
      <c r="AY91" s="294"/>
      <c r="AZ91" s="294"/>
      <c r="BA91" s="294"/>
      <c r="BB91" s="294"/>
      <c r="BC91" s="294"/>
      <c r="BD91" s="294"/>
      <c r="BE91" s="294"/>
      <c r="BF91" s="294"/>
      <c r="BG91" s="294"/>
      <c r="BH91" s="294"/>
      <c r="BI91" s="294"/>
      <c r="BJ91" s="294"/>
      <c r="BK91" s="294"/>
      <c r="BL91" s="294"/>
      <c r="BM91" s="294"/>
      <c r="BN91" s="294"/>
      <c r="BO91" s="294"/>
      <c r="BP91" s="294"/>
      <c r="BQ91" s="294"/>
      <c r="BR91" s="294"/>
      <c r="BS91" s="294"/>
      <c r="BT91" s="294"/>
      <c r="BU91" s="294"/>
      <c r="BV91" s="294"/>
      <c r="BW91" s="294"/>
      <c r="BX91" s="294"/>
      <c r="BY91" s="294"/>
      <c r="BZ91" s="294"/>
      <c r="CA91" s="294"/>
      <c r="CB91" s="294"/>
      <c r="CC91" s="294"/>
      <c r="CD91" s="294"/>
      <c r="CE91" s="294"/>
      <c r="CF91" s="294"/>
      <c r="CG91" s="294"/>
      <c r="CH91" s="294"/>
      <c r="CI91" s="294"/>
      <c r="CJ91" s="294"/>
      <c r="CK91" s="294"/>
      <c r="CL91" s="294"/>
      <c r="CM91" s="294"/>
      <c r="CN91" s="294"/>
      <c r="CO91" s="294"/>
      <c r="CP91" s="294"/>
      <c r="CQ91" s="294"/>
      <c r="CR91" s="294"/>
      <c r="CS91" s="294"/>
      <c r="CT91" s="294"/>
      <c r="CU91" s="294"/>
      <c r="CV91" s="294"/>
      <c r="CW91" s="294"/>
      <c r="CX91" s="294"/>
      <c r="CY91" s="294"/>
      <c r="CZ91" s="294"/>
      <c r="DA91" s="294"/>
      <c r="DB91" s="294"/>
      <c r="DC91" s="294"/>
      <c r="DD91" s="294"/>
      <c r="DE91" s="294"/>
      <c r="DF91" s="294"/>
      <c r="DG91" s="294"/>
      <c r="DH91" s="294"/>
      <c r="DI91" s="294"/>
      <c r="DJ91" s="294"/>
      <c r="DK91" s="294"/>
      <c r="DL91" s="294"/>
      <c r="DM91" s="294"/>
      <c r="DN91" s="294"/>
      <c r="DO91" s="294"/>
      <c r="DP91" s="294"/>
      <c r="DQ91" s="294"/>
      <c r="DR91" s="294"/>
      <c r="DS91" s="294"/>
      <c r="DT91" s="294"/>
      <c r="DU91" s="294"/>
      <c r="DV91" s="294"/>
      <c r="DW91" s="294"/>
      <c r="DX91" s="294"/>
      <c r="DY91" s="294"/>
      <c r="DZ91" s="294"/>
      <c r="EA91" s="294"/>
      <c r="EB91" s="294"/>
      <c r="EC91" s="294"/>
      <c r="ED91" s="294"/>
      <c r="EE91" s="294"/>
      <c r="EF91" s="294"/>
      <c r="EG91" s="294"/>
      <c r="EH91" s="294"/>
      <c r="EI91" s="294"/>
      <c r="EJ91" s="294"/>
      <c r="EK91" s="294"/>
      <c r="EL91" s="294"/>
      <c r="EM91" s="294"/>
      <c r="EN91" s="294"/>
      <c r="EO91" s="294"/>
      <c r="EP91" s="294"/>
      <c r="EQ91" s="294"/>
      <c r="ER91" s="294"/>
      <c r="ES91" s="294"/>
      <c r="ET91" s="294"/>
      <c r="EU91" s="294"/>
      <c r="EV91" s="294"/>
      <c r="EW91" s="294"/>
      <c r="EX91" s="294"/>
      <c r="EY91" s="294"/>
    </row>
    <row r="92" spans="1:155" ht="27" customHeight="1">
      <c r="A92" s="294" t="s">
        <v>127</v>
      </c>
      <c r="B92" s="294"/>
      <c r="C92" s="294"/>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4"/>
      <c r="AN92" s="294"/>
      <c r="AO92" s="294"/>
      <c r="AP92" s="294"/>
      <c r="AQ92" s="294"/>
      <c r="AR92" s="294"/>
      <c r="AS92" s="294"/>
      <c r="AT92" s="294"/>
      <c r="AU92" s="294"/>
      <c r="AV92" s="294"/>
      <c r="AW92" s="294"/>
      <c r="AX92" s="294"/>
      <c r="AY92" s="294"/>
      <c r="AZ92" s="294"/>
      <c r="BA92" s="294"/>
      <c r="BB92" s="294"/>
      <c r="BC92" s="294"/>
      <c r="BD92" s="294"/>
      <c r="BE92" s="294"/>
      <c r="BF92" s="294"/>
      <c r="BG92" s="294"/>
      <c r="BH92" s="294"/>
      <c r="BI92" s="294"/>
      <c r="BJ92" s="294"/>
      <c r="BK92" s="294"/>
      <c r="BL92" s="294"/>
      <c r="BM92" s="294"/>
      <c r="BN92" s="294"/>
      <c r="BO92" s="294"/>
      <c r="BP92" s="294"/>
      <c r="BQ92" s="294"/>
      <c r="BR92" s="294"/>
      <c r="BS92" s="294"/>
      <c r="BT92" s="294"/>
      <c r="BU92" s="294"/>
      <c r="BV92" s="294"/>
      <c r="BW92" s="294"/>
      <c r="BX92" s="294"/>
      <c r="BY92" s="294"/>
      <c r="BZ92" s="294"/>
      <c r="CA92" s="294"/>
      <c r="CB92" s="294"/>
      <c r="CC92" s="294"/>
      <c r="CD92" s="294"/>
      <c r="CE92" s="294"/>
      <c r="CF92" s="294"/>
      <c r="CG92" s="294"/>
      <c r="CH92" s="294"/>
      <c r="CI92" s="294"/>
      <c r="CJ92" s="294"/>
      <c r="CK92" s="294"/>
      <c r="CL92" s="294"/>
      <c r="CM92" s="294"/>
      <c r="CN92" s="294"/>
      <c r="CO92" s="294"/>
      <c r="CP92" s="294"/>
      <c r="CQ92" s="294"/>
      <c r="CR92" s="294"/>
      <c r="CS92" s="294"/>
      <c r="CT92" s="294"/>
      <c r="CU92" s="294"/>
      <c r="CV92" s="294"/>
      <c r="CW92" s="294"/>
      <c r="CX92" s="294"/>
      <c r="CY92" s="294"/>
      <c r="CZ92" s="294"/>
      <c r="DA92" s="294"/>
      <c r="DB92" s="294"/>
      <c r="DC92" s="294"/>
      <c r="DD92" s="294"/>
      <c r="DE92" s="294"/>
      <c r="DF92" s="294"/>
      <c r="DG92" s="294"/>
      <c r="DH92" s="294"/>
      <c r="DI92" s="294"/>
      <c r="DJ92" s="294"/>
      <c r="DK92" s="294"/>
      <c r="DL92" s="294"/>
      <c r="DM92" s="294"/>
      <c r="DN92" s="294"/>
      <c r="DO92" s="294"/>
      <c r="DP92" s="294"/>
      <c r="DQ92" s="294"/>
      <c r="DR92" s="294"/>
      <c r="DS92" s="294"/>
      <c r="DT92" s="294"/>
      <c r="DU92" s="294"/>
      <c r="DV92" s="294"/>
      <c r="DW92" s="294"/>
      <c r="DX92" s="294"/>
      <c r="DY92" s="294"/>
      <c r="DZ92" s="294"/>
      <c r="EA92" s="294"/>
      <c r="EB92" s="294"/>
      <c r="EC92" s="294"/>
      <c r="ED92" s="294"/>
      <c r="EE92" s="294"/>
      <c r="EF92" s="294"/>
      <c r="EG92" s="294"/>
      <c r="EH92" s="294"/>
      <c r="EI92" s="294"/>
      <c r="EJ92" s="294"/>
      <c r="EK92" s="294"/>
      <c r="EL92" s="294"/>
      <c r="EM92" s="294"/>
      <c r="EN92" s="294"/>
      <c r="EO92" s="294"/>
      <c r="EP92" s="294"/>
      <c r="EQ92" s="294"/>
      <c r="ER92" s="294"/>
      <c r="ES92" s="294"/>
      <c r="ET92" s="294"/>
      <c r="EU92" s="294"/>
      <c r="EV92" s="294"/>
      <c r="EW92" s="294"/>
      <c r="EX92" s="294"/>
      <c r="EY92" s="294"/>
    </row>
    <row r="93" spans="1:155" ht="12.75" customHeight="1">
      <c r="A93" s="125"/>
      <c r="B93" s="125"/>
      <c r="C93" s="125"/>
      <c r="D93" s="125"/>
      <c r="E93" s="125"/>
      <c r="F93" s="125"/>
      <c r="G93" s="125"/>
      <c r="H93" s="125"/>
      <c r="I93" s="125"/>
      <c r="J93" s="125"/>
      <c r="K93" s="125"/>
      <c r="L93" s="125"/>
      <c r="M93" s="125"/>
      <c r="N93" s="38"/>
      <c r="O93" s="38"/>
      <c r="P93" s="38"/>
      <c r="S93" s="38"/>
      <c r="V93" s="38"/>
      <c r="Y93" s="38"/>
      <c r="AD93" s="38"/>
      <c r="AE93" s="38"/>
      <c r="AF93" s="38"/>
      <c r="BL93" s="38"/>
    </row>
    <row r="94" spans="1:155" ht="12.75" customHeight="1">
      <c r="A94" s="113"/>
      <c r="B94" s="113"/>
      <c r="C94" s="113"/>
      <c r="D94" s="113"/>
      <c r="E94" s="113"/>
      <c r="F94" s="113"/>
      <c r="G94" s="113"/>
      <c r="H94" s="113"/>
      <c r="I94" s="113"/>
      <c r="J94" s="113"/>
      <c r="K94" s="113"/>
      <c r="L94" s="113"/>
      <c r="M94" s="113"/>
      <c r="N94" s="111"/>
      <c r="O94" s="111"/>
      <c r="P94" s="38"/>
      <c r="S94" s="38"/>
      <c r="V94" s="38"/>
      <c r="Y94" s="38"/>
      <c r="AD94" s="38"/>
      <c r="AE94" s="38"/>
      <c r="AF94" s="38"/>
      <c r="BL94" s="38"/>
    </row>
    <row r="95" spans="1:155" ht="12.75" customHeight="1">
      <c r="A95" s="125"/>
      <c r="B95" s="125"/>
      <c r="C95" s="125"/>
      <c r="D95" s="125"/>
      <c r="E95" s="125"/>
      <c r="F95" s="125"/>
      <c r="G95" s="125"/>
      <c r="H95" s="125"/>
      <c r="I95" s="125"/>
      <c r="J95" s="125"/>
      <c r="K95" s="125"/>
      <c r="L95" s="125"/>
      <c r="M95" s="125"/>
      <c r="N95" s="38"/>
      <c r="O95" s="38"/>
      <c r="Q95" s="38"/>
      <c r="R95" s="38"/>
      <c r="S95" s="38"/>
      <c r="T95" s="38"/>
      <c r="U95" s="38"/>
      <c r="V95" s="38"/>
      <c r="AD95" s="38"/>
      <c r="AE95" s="38"/>
      <c r="AF95" s="38"/>
    </row>
    <row r="96" spans="1:155" ht="12.75" customHeight="1">
      <c r="A96" s="125"/>
      <c r="B96" s="125"/>
      <c r="C96" s="125"/>
      <c r="D96" s="125"/>
      <c r="E96" s="125"/>
      <c r="F96" s="125"/>
      <c r="G96" s="125"/>
      <c r="H96" s="125"/>
      <c r="I96" s="125"/>
      <c r="J96" s="125"/>
      <c r="K96" s="125"/>
      <c r="L96" s="125"/>
      <c r="M96" s="125"/>
      <c r="N96" s="38"/>
      <c r="O96" s="38"/>
      <c r="P96" s="38"/>
      <c r="Q96" s="38"/>
      <c r="R96" s="38"/>
      <c r="S96" s="38"/>
      <c r="T96" s="38"/>
      <c r="U96" s="38"/>
      <c r="V96" s="38"/>
    </row>
    <row r="97" spans="1:74" ht="12.75" customHeight="1">
      <c r="A97" s="113"/>
      <c r="B97" s="113"/>
      <c r="C97" s="113"/>
      <c r="D97" s="113"/>
      <c r="E97" s="113"/>
      <c r="F97" s="113"/>
      <c r="G97" s="113"/>
      <c r="H97" s="113"/>
      <c r="I97" s="113"/>
      <c r="J97" s="113"/>
      <c r="K97" s="113"/>
      <c r="L97" s="113"/>
      <c r="M97" s="113"/>
      <c r="N97" s="38"/>
      <c r="O97" s="38"/>
      <c r="P97" s="38"/>
      <c r="Q97" s="38"/>
      <c r="R97" s="38"/>
      <c r="S97" s="38"/>
      <c r="T97" s="38"/>
      <c r="U97" s="38"/>
      <c r="V97" s="38"/>
    </row>
    <row r="98" spans="1:74" ht="12.75" customHeight="1">
      <c r="A98" s="113"/>
      <c r="B98" s="113"/>
      <c r="C98" s="113"/>
      <c r="D98" s="113"/>
      <c r="E98" s="113"/>
      <c r="F98" s="113"/>
      <c r="G98" s="113"/>
      <c r="H98" s="113"/>
      <c r="I98" s="113"/>
      <c r="J98" s="113"/>
      <c r="K98" s="113"/>
      <c r="L98" s="113"/>
      <c r="M98" s="113"/>
      <c r="N98" s="38"/>
      <c r="O98" s="38"/>
      <c r="P98" s="38"/>
      <c r="Q98" s="38"/>
      <c r="R98" s="38"/>
      <c r="S98" s="38"/>
      <c r="T98" s="38"/>
      <c r="U98" s="38"/>
      <c r="V98" s="38"/>
      <c r="BP98" s="38"/>
      <c r="BS98" s="38"/>
      <c r="BV98" s="38"/>
    </row>
    <row r="99" spans="1:74" ht="12.75" customHeight="1">
      <c r="A99" s="125"/>
      <c r="B99" s="125"/>
      <c r="C99" s="125"/>
      <c r="D99" s="125"/>
      <c r="E99" s="125"/>
      <c r="F99" s="125"/>
      <c r="G99" s="125"/>
      <c r="H99" s="125"/>
      <c r="I99" s="125"/>
      <c r="J99" s="125"/>
      <c r="K99" s="125"/>
      <c r="L99" s="125"/>
      <c r="M99" s="125"/>
      <c r="N99" s="38"/>
      <c r="O99" s="38"/>
      <c r="P99" s="38"/>
      <c r="Q99" s="38"/>
      <c r="R99" s="38"/>
      <c r="S99" s="38"/>
      <c r="T99" s="38"/>
      <c r="U99" s="38"/>
      <c r="V99" s="38"/>
      <c r="BP99" s="38"/>
      <c r="BS99" s="38"/>
      <c r="BV99" s="38"/>
    </row>
    <row r="100" spans="1:74" ht="12.75" customHeight="1">
      <c r="A100" s="113"/>
      <c r="B100" s="113"/>
      <c r="C100" s="113"/>
      <c r="D100" s="113"/>
      <c r="E100" s="113"/>
      <c r="F100" s="113"/>
      <c r="G100" s="113"/>
      <c r="H100" s="113"/>
      <c r="I100" s="113"/>
      <c r="J100" s="113"/>
      <c r="K100" s="113"/>
      <c r="L100" s="113"/>
      <c r="M100" s="113"/>
      <c r="N100" s="38"/>
      <c r="O100" s="38"/>
      <c r="P100" s="38"/>
      <c r="Q100" s="38"/>
      <c r="R100" s="38"/>
      <c r="S100" s="38"/>
      <c r="T100" s="38"/>
      <c r="U100" s="38"/>
      <c r="V100" s="38"/>
      <c r="BP100" s="38"/>
      <c r="BS100" s="38"/>
      <c r="BV100" s="38"/>
    </row>
    <row r="101" spans="1:74" ht="12.75" customHeight="1">
      <c r="A101" s="113"/>
      <c r="B101" s="113"/>
      <c r="C101" s="113"/>
      <c r="D101" s="113"/>
      <c r="E101" s="113"/>
      <c r="F101" s="113"/>
      <c r="G101" s="113"/>
      <c r="H101" s="113"/>
      <c r="I101" s="113"/>
      <c r="J101" s="113"/>
      <c r="K101" s="113"/>
      <c r="L101" s="113"/>
      <c r="M101" s="113"/>
      <c r="N101" s="38"/>
      <c r="O101" s="38"/>
      <c r="P101" s="38"/>
      <c r="Q101" s="38"/>
      <c r="R101" s="38"/>
      <c r="S101" s="38"/>
      <c r="T101" s="38"/>
      <c r="U101" s="38"/>
      <c r="V101" s="38"/>
      <c r="BP101" s="38"/>
      <c r="BS101" s="38"/>
      <c r="BV101" s="38"/>
    </row>
    <row r="102" spans="1:74" ht="12.75" customHeight="1">
      <c r="A102" s="125"/>
      <c r="B102" s="125"/>
      <c r="C102" s="125"/>
      <c r="D102" s="125"/>
      <c r="E102" s="125"/>
      <c r="F102" s="125"/>
      <c r="G102" s="125"/>
      <c r="H102" s="125"/>
      <c r="I102" s="125"/>
      <c r="J102" s="125"/>
      <c r="K102" s="125"/>
      <c r="L102" s="125"/>
      <c r="M102" s="125"/>
      <c r="N102" s="38"/>
      <c r="O102" s="38"/>
      <c r="P102" s="38"/>
      <c r="Q102" s="38"/>
      <c r="R102" s="38"/>
      <c r="S102" s="38"/>
      <c r="T102" s="38"/>
      <c r="U102" s="38"/>
      <c r="V102" s="38"/>
      <c r="BP102" s="38"/>
      <c r="BS102" s="38"/>
      <c r="BV102" s="38"/>
    </row>
    <row r="103" spans="1:74" ht="12.75" customHeight="1">
      <c r="A103" s="113"/>
      <c r="B103" s="113"/>
      <c r="C103" s="113"/>
      <c r="D103" s="113"/>
      <c r="E103" s="113"/>
      <c r="F103" s="113"/>
      <c r="G103" s="113"/>
      <c r="H103" s="113"/>
      <c r="I103" s="113"/>
      <c r="J103" s="113"/>
      <c r="K103" s="113"/>
      <c r="L103" s="113"/>
      <c r="M103" s="113"/>
      <c r="N103" s="38"/>
      <c r="O103" s="38"/>
      <c r="P103" s="38"/>
      <c r="Q103" s="38"/>
      <c r="R103" s="38"/>
      <c r="S103" s="38"/>
      <c r="T103" s="38"/>
      <c r="U103" s="38"/>
      <c r="V103" s="126"/>
      <c r="BP103" s="38"/>
      <c r="BS103" s="38"/>
      <c r="BV103" s="38"/>
    </row>
    <row r="104" spans="1:74" ht="12.75" customHeight="1">
      <c r="A104" s="113"/>
      <c r="B104" s="113"/>
      <c r="C104" s="113"/>
      <c r="D104" s="113"/>
      <c r="E104" s="113"/>
      <c r="F104" s="113"/>
      <c r="G104" s="113"/>
      <c r="H104" s="113"/>
      <c r="I104" s="113"/>
      <c r="J104" s="113"/>
      <c r="K104" s="113"/>
      <c r="L104" s="113"/>
      <c r="M104" s="113"/>
      <c r="N104" s="38"/>
      <c r="O104" s="38"/>
      <c r="P104" s="38"/>
      <c r="Q104" s="38"/>
      <c r="R104" s="38"/>
      <c r="S104" s="38"/>
      <c r="T104" s="38"/>
      <c r="U104" s="38"/>
      <c r="V104" s="38"/>
      <c r="BP104" s="38"/>
      <c r="BS104" s="38"/>
      <c r="BV104" s="38"/>
    </row>
    <row r="105" spans="1:74" ht="12.75" customHeight="1">
      <c r="A105" s="113"/>
      <c r="B105" s="113"/>
      <c r="C105" s="113"/>
      <c r="D105" s="113"/>
      <c r="E105" s="113"/>
      <c r="F105" s="113"/>
      <c r="G105" s="113"/>
      <c r="H105" s="113"/>
      <c r="I105" s="113"/>
      <c r="J105" s="113"/>
      <c r="K105" s="113"/>
      <c r="L105" s="113"/>
      <c r="M105" s="113"/>
      <c r="N105" s="38"/>
      <c r="O105" s="38"/>
      <c r="P105" s="38"/>
      <c r="Q105" s="38"/>
      <c r="R105" s="38"/>
      <c r="S105" s="38"/>
      <c r="T105" s="38"/>
      <c r="U105" s="38"/>
      <c r="V105" s="38"/>
      <c r="BP105" s="38"/>
      <c r="BS105" s="38"/>
      <c r="BV105" s="38"/>
    </row>
    <row r="106" spans="1:74" ht="12.75" customHeight="1">
      <c r="A106" s="125"/>
      <c r="B106" s="125"/>
      <c r="C106" s="125"/>
      <c r="D106" s="125"/>
      <c r="E106" s="125"/>
      <c r="F106" s="125"/>
      <c r="G106" s="125"/>
      <c r="H106" s="125"/>
      <c r="I106" s="125"/>
      <c r="J106" s="125"/>
      <c r="K106" s="125"/>
      <c r="L106" s="125"/>
      <c r="M106" s="125"/>
      <c r="N106" s="38"/>
      <c r="O106" s="38"/>
      <c r="P106" s="38"/>
      <c r="Q106" s="38"/>
      <c r="R106" s="38"/>
      <c r="S106" s="38"/>
      <c r="T106" s="38"/>
      <c r="U106" s="38"/>
      <c r="V106" s="38"/>
      <c r="BP106" s="38"/>
      <c r="BS106" s="38"/>
      <c r="BV106" s="38"/>
    </row>
    <row r="107" spans="1:74" ht="12.75" customHeight="1">
      <c r="A107" s="113"/>
      <c r="B107" s="113"/>
      <c r="C107" s="113"/>
      <c r="D107" s="113"/>
      <c r="E107" s="113"/>
      <c r="F107" s="113"/>
      <c r="G107" s="113"/>
      <c r="H107" s="113"/>
      <c r="I107" s="113"/>
      <c r="J107" s="113"/>
      <c r="K107" s="113"/>
      <c r="L107" s="113"/>
      <c r="M107" s="113"/>
      <c r="N107" s="38"/>
      <c r="O107" s="38"/>
      <c r="P107" s="38"/>
      <c r="Q107" s="38"/>
      <c r="R107" s="38"/>
      <c r="S107" s="38"/>
      <c r="T107" s="38"/>
      <c r="U107" s="38"/>
      <c r="V107" s="38"/>
      <c r="BP107" s="38"/>
      <c r="BS107" s="38"/>
      <c r="BV107" s="38"/>
    </row>
    <row r="108" spans="1:74" ht="12.75" customHeight="1">
      <c r="A108" s="113"/>
      <c r="B108" s="113"/>
      <c r="C108" s="113"/>
      <c r="D108" s="113"/>
      <c r="E108" s="113"/>
      <c r="F108" s="113"/>
      <c r="G108" s="113"/>
      <c r="H108" s="113"/>
      <c r="I108" s="113"/>
      <c r="J108" s="113"/>
      <c r="K108" s="113"/>
      <c r="L108" s="113"/>
      <c r="M108" s="113"/>
      <c r="N108" s="38"/>
      <c r="O108" s="38"/>
      <c r="P108" s="38"/>
      <c r="Q108" s="38"/>
      <c r="R108" s="38"/>
      <c r="S108" s="38"/>
      <c r="T108" s="38"/>
      <c r="U108" s="38"/>
      <c r="V108" s="38"/>
      <c r="BP108" s="38"/>
    </row>
    <row r="109" spans="1:74" ht="12.75" customHeight="1">
      <c r="A109" s="113"/>
      <c r="B109" s="113"/>
      <c r="C109" s="113"/>
      <c r="D109" s="113"/>
      <c r="E109" s="113"/>
      <c r="F109" s="113"/>
      <c r="G109" s="113"/>
      <c r="H109" s="113"/>
      <c r="I109" s="113"/>
      <c r="J109" s="113"/>
      <c r="K109" s="113"/>
      <c r="L109" s="113"/>
      <c r="M109" s="113"/>
      <c r="N109" s="38"/>
      <c r="O109" s="38"/>
      <c r="P109" s="38"/>
      <c r="Q109" s="38"/>
      <c r="R109" s="38"/>
      <c r="S109" s="38"/>
      <c r="T109" s="38"/>
      <c r="U109" s="38"/>
      <c r="V109" s="38"/>
      <c r="BP109" s="38"/>
    </row>
    <row r="110" spans="1:74" ht="12.75" customHeight="1">
      <c r="A110" s="113"/>
      <c r="B110" s="113"/>
      <c r="C110" s="113"/>
      <c r="D110" s="113"/>
      <c r="E110" s="113"/>
      <c r="F110" s="113"/>
      <c r="G110" s="113"/>
      <c r="H110" s="113"/>
      <c r="I110" s="113"/>
      <c r="J110" s="113"/>
      <c r="K110" s="113"/>
      <c r="L110" s="113"/>
      <c r="M110" s="113"/>
      <c r="N110" s="38"/>
      <c r="O110" s="38"/>
      <c r="P110" s="38"/>
      <c r="Q110" s="38"/>
      <c r="R110" s="38"/>
      <c r="S110" s="38"/>
      <c r="T110" s="38"/>
      <c r="U110" s="38"/>
      <c r="V110" s="38"/>
    </row>
    <row r="111" spans="1:74" ht="12.75" customHeight="1">
      <c r="N111" s="38"/>
      <c r="O111" s="38"/>
      <c r="P111" s="38"/>
      <c r="Q111" s="38"/>
      <c r="R111" s="38"/>
      <c r="S111" s="38"/>
      <c r="T111" s="38"/>
      <c r="U111" s="38"/>
      <c r="V111" s="38"/>
    </row>
    <row r="112" spans="1:74" ht="12.75" customHeight="1">
      <c r="A112" s="125"/>
      <c r="B112" s="125"/>
      <c r="C112" s="125"/>
      <c r="D112" s="125"/>
      <c r="E112" s="125"/>
      <c r="F112" s="125"/>
      <c r="G112" s="125"/>
      <c r="H112" s="125"/>
      <c r="I112" s="125"/>
      <c r="J112" s="125"/>
      <c r="K112" s="125"/>
      <c r="L112" s="125"/>
      <c r="M112" s="125"/>
      <c r="N112" s="38"/>
      <c r="O112" s="38"/>
      <c r="P112" s="38"/>
      <c r="Q112" s="38"/>
      <c r="R112" s="38"/>
      <c r="S112" s="38"/>
      <c r="T112" s="38"/>
      <c r="U112" s="38"/>
      <c r="V112" s="38"/>
    </row>
    <row r="113" spans="1:25" ht="12.75" customHeight="1">
      <c r="N113" s="38"/>
      <c r="O113" s="38"/>
      <c r="P113" s="38"/>
      <c r="Q113" s="38"/>
      <c r="R113" s="38"/>
      <c r="S113" s="38"/>
      <c r="T113" s="38"/>
      <c r="U113" s="38"/>
      <c r="V113" s="38"/>
    </row>
    <row r="114" spans="1:25" ht="12.75" customHeight="1">
      <c r="N114" s="38"/>
      <c r="O114" s="38"/>
      <c r="P114" s="38"/>
      <c r="Q114" s="38"/>
      <c r="R114" s="38"/>
      <c r="S114" s="38"/>
      <c r="T114" s="38"/>
      <c r="U114" s="38"/>
      <c r="V114" s="38"/>
    </row>
    <row r="115" spans="1:25" ht="12.75" customHeight="1">
      <c r="N115" s="38"/>
      <c r="O115" s="38"/>
      <c r="P115" s="38"/>
      <c r="Q115" s="38"/>
      <c r="R115" s="38"/>
      <c r="S115" s="38"/>
      <c r="T115" s="38"/>
      <c r="U115" s="38"/>
      <c r="V115" s="38"/>
    </row>
    <row r="116" spans="1:25" ht="12.75" customHeight="1">
      <c r="N116" s="38"/>
      <c r="O116" s="38"/>
      <c r="P116" s="38"/>
      <c r="Q116" s="38"/>
      <c r="R116" s="38"/>
      <c r="S116" s="38"/>
      <c r="T116" s="38"/>
      <c r="U116" s="38"/>
      <c r="V116" s="38"/>
    </row>
    <row r="117" spans="1:25" ht="12.75" customHeight="1">
      <c r="A117" s="113"/>
      <c r="B117" s="113"/>
      <c r="C117" s="113"/>
      <c r="D117" s="113"/>
      <c r="E117" s="113"/>
      <c r="F117" s="113"/>
      <c r="G117" s="113"/>
      <c r="H117" s="113"/>
      <c r="I117" s="113"/>
      <c r="J117" s="113"/>
      <c r="K117" s="113"/>
      <c r="L117" s="113"/>
      <c r="M117" s="113"/>
      <c r="N117" s="127"/>
      <c r="O117" s="127"/>
      <c r="P117" s="127"/>
      <c r="Q117" s="127"/>
      <c r="R117" s="127"/>
      <c r="S117" s="127"/>
      <c r="T117" s="127"/>
      <c r="U117" s="127"/>
      <c r="V117" s="127"/>
      <c r="W117" s="127"/>
      <c r="X117" s="127"/>
      <c r="Y117" s="127"/>
    </row>
    <row r="118" spans="1:25" ht="12.75" customHeight="1">
      <c r="N118" s="38"/>
      <c r="O118" s="38"/>
      <c r="P118" s="38"/>
      <c r="Q118" s="38"/>
      <c r="R118" s="38"/>
      <c r="S118" s="38"/>
      <c r="T118" s="38"/>
      <c r="U118" s="38"/>
      <c r="V118" s="38"/>
    </row>
    <row r="119" spans="1:25" ht="12.75" customHeight="1">
      <c r="A119" s="113"/>
      <c r="B119" s="113"/>
      <c r="C119" s="113"/>
      <c r="D119" s="113"/>
      <c r="E119" s="113"/>
      <c r="F119" s="113"/>
      <c r="G119" s="113"/>
      <c r="H119" s="113"/>
      <c r="I119" s="113"/>
      <c r="J119" s="113"/>
      <c r="K119" s="113"/>
      <c r="L119" s="113"/>
      <c r="M119" s="113"/>
      <c r="N119" s="38"/>
      <c r="O119" s="38"/>
      <c r="P119" s="38"/>
      <c r="Q119" s="38"/>
      <c r="R119" s="38"/>
      <c r="S119" s="38"/>
      <c r="T119" s="38"/>
      <c r="U119" s="38"/>
      <c r="V119" s="38"/>
    </row>
    <row r="120" spans="1:25" ht="12.75" customHeight="1">
      <c r="A120" s="113"/>
      <c r="B120" s="113"/>
      <c r="C120" s="113"/>
      <c r="D120" s="113"/>
      <c r="E120" s="113"/>
      <c r="F120" s="113"/>
      <c r="G120" s="113"/>
      <c r="H120" s="113"/>
      <c r="I120" s="113"/>
      <c r="J120" s="113"/>
      <c r="K120" s="113"/>
      <c r="L120" s="113"/>
      <c r="M120" s="113"/>
      <c r="N120" s="38"/>
      <c r="O120" s="38"/>
      <c r="P120" s="38"/>
      <c r="Q120" s="38"/>
      <c r="R120" s="38"/>
      <c r="S120" s="38"/>
      <c r="T120" s="38"/>
      <c r="U120" s="38"/>
      <c r="V120" s="38"/>
    </row>
    <row r="121" spans="1:25" ht="12.75" customHeight="1">
      <c r="A121" s="113"/>
      <c r="B121" s="113"/>
      <c r="C121" s="113"/>
      <c r="D121" s="113"/>
      <c r="E121" s="113"/>
      <c r="F121" s="113"/>
      <c r="G121" s="113"/>
      <c r="H121" s="113"/>
      <c r="I121" s="113"/>
      <c r="J121" s="113"/>
      <c r="K121" s="113"/>
      <c r="L121" s="113"/>
      <c r="M121" s="113"/>
      <c r="N121" s="38"/>
      <c r="O121" s="38"/>
      <c r="P121" s="38"/>
      <c r="Q121" s="38"/>
      <c r="R121" s="38"/>
      <c r="S121" s="38"/>
      <c r="T121" s="38"/>
      <c r="U121" s="38"/>
      <c r="V121" s="38"/>
    </row>
    <row r="122" spans="1:25" ht="12.75" customHeight="1">
      <c r="A122" s="125"/>
      <c r="B122" s="125"/>
      <c r="C122" s="125"/>
      <c r="D122" s="125"/>
      <c r="E122" s="125"/>
      <c r="F122" s="125"/>
      <c r="G122" s="125"/>
      <c r="H122" s="125"/>
      <c r="I122" s="125"/>
      <c r="J122" s="125"/>
      <c r="K122" s="125"/>
      <c r="L122" s="125"/>
      <c r="M122" s="125"/>
      <c r="N122" s="38"/>
      <c r="O122" s="38"/>
      <c r="P122" s="38"/>
      <c r="Q122" s="38"/>
      <c r="R122" s="38"/>
      <c r="S122" s="38"/>
      <c r="T122" s="38"/>
      <c r="U122" s="38"/>
      <c r="V122" s="38"/>
    </row>
    <row r="123" spans="1:25" ht="12.75" customHeight="1">
      <c r="A123" s="125"/>
      <c r="B123" s="125"/>
      <c r="C123" s="125"/>
      <c r="D123" s="125"/>
      <c r="E123" s="125"/>
      <c r="F123" s="125"/>
      <c r="G123" s="125"/>
      <c r="H123" s="125"/>
      <c r="I123" s="125"/>
      <c r="J123" s="125"/>
      <c r="K123" s="125"/>
      <c r="L123" s="125"/>
      <c r="M123" s="125"/>
      <c r="N123" s="38"/>
      <c r="O123" s="38"/>
      <c r="P123" s="38"/>
      <c r="Q123" s="38"/>
      <c r="R123" s="38"/>
      <c r="S123" s="38"/>
      <c r="T123" s="38"/>
      <c r="U123" s="38"/>
      <c r="V123" s="38"/>
    </row>
    <row r="124" spans="1:25" ht="12.75" customHeight="1">
      <c r="A124" s="113"/>
      <c r="B124" s="113"/>
      <c r="C124" s="113"/>
      <c r="D124" s="113"/>
      <c r="E124" s="113"/>
      <c r="F124" s="113"/>
      <c r="G124" s="113"/>
      <c r="H124" s="113"/>
      <c r="I124" s="113"/>
      <c r="J124" s="113"/>
      <c r="K124" s="113"/>
      <c r="L124" s="113"/>
      <c r="M124" s="113"/>
      <c r="N124" s="38"/>
      <c r="O124" s="38"/>
      <c r="P124" s="38"/>
      <c r="Q124" s="38"/>
      <c r="R124" s="38"/>
      <c r="S124" s="38"/>
      <c r="T124" s="38"/>
      <c r="U124" s="38"/>
      <c r="V124" s="38"/>
    </row>
    <row r="125" spans="1:25">
      <c r="N125" s="38"/>
      <c r="O125" s="38"/>
      <c r="P125" s="38"/>
      <c r="Q125" s="38"/>
      <c r="R125" s="38"/>
      <c r="S125" s="38"/>
      <c r="T125" s="38"/>
      <c r="U125" s="38"/>
      <c r="V125" s="38"/>
    </row>
    <row r="126" spans="1:25">
      <c r="N126" s="38"/>
      <c r="O126" s="38"/>
      <c r="P126" s="38"/>
      <c r="Q126" s="38"/>
      <c r="R126" s="38"/>
      <c r="S126" s="38"/>
      <c r="T126" s="38"/>
      <c r="U126" s="38"/>
      <c r="V126" s="38"/>
    </row>
    <row r="127" spans="1:25">
      <c r="N127" s="38"/>
      <c r="O127" s="38"/>
      <c r="P127" s="38"/>
      <c r="Q127" s="38"/>
      <c r="R127" s="38"/>
      <c r="S127" s="38"/>
      <c r="T127" s="38"/>
      <c r="U127" s="38"/>
      <c r="V127" s="38"/>
    </row>
    <row r="128" spans="1:25">
      <c r="N128" s="38"/>
      <c r="O128" s="38"/>
      <c r="P128" s="38"/>
      <c r="Q128" s="38"/>
      <c r="R128" s="38"/>
      <c r="S128" s="38"/>
      <c r="T128" s="38"/>
      <c r="U128" s="38"/>
      <c r="V128" s="38"/>
    </row>
    <row r="129" spans="14:22">
      <c r="N129" s="38"/>
      <c r="O129" s="38"/>
      <c r="P129" s="38"/>
      <c r="Q129" s="38"/>
      <c r="R129" s="38"/>
      <c r="S129" s="38"/>
      <c r="T129" s="38"/>
      <c r="U129" s="38"/>
      <c r="V129" s="38"/>
    </row>
    <row r="130" spans="14:22">
      <c r="N130" s="38"/>
      <c r="O130" s="38"/>
      <c r="P130" s="38"/>
      <c r="Q130" s="38"/>
      <c r="R130" s="38"/>
      <c r="S130" s="38"/>
      <c r="T130" s="38"/>
      <c r="U130" s="38"/>
      <c r="V130" s="38"/>
    </row>
    <row r="131" spans="14:22">
      <c r="N131" s="38"/>
      <c r="O131" s="38"/>
      <c r="P131" s="38"/>
      <c r="Q131" s="38"/>
      <c r="R131" s="38"/>
      <c r="S131" s="38"/>
      <c r="T131" s="38"/>
      <c r="U131" s="38"/>
      <c r="V131" s="38"/>
    </row>
  </sheetData>
  <mergeCells count="11">
    <mergeCell ref="A73:EY73"/>
    <mergeCell ref="A1:EY1"/>
    <mergeCell ref="A2:EY2"/>
    <mergeCell ref="A33:EY33"/>
    <mergeCell ref="A51:EY51"/>
    <mergeCell ref="A62:EY62"/>
    <mergeCell ref="A87:EY87"/>
    <mergeCell ref="A88:EY88"/>
    <mergeCell ref="A89:EY89"/>
    <mergeCell ref="A92:EY92"/>
    <mergeCell ref="A91:EY91"/>
  </mergeCells>
  <phoneticPr fontId="9" type="noConversion"/>
  <printOptions horizontalCentered="1"/>
  <pageMargins left="0.17" right="0.22" top="0.5" bottom="0.25" header="0.5" footer="0.5"/>
  <pageSetup paperSize="9" scale="5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EN75"/>
  <sheetViews>
    <sheetView zoomScaleNormal="100" zoomScaleSheetLayoutView="100" workbookViewId="0">
      <pane xSplit="1" ySplit="5" topLeftCell="DX27" activePane="bottomRight" state="frozen"/>
      <selection pane="topRight" activeCell="B1" sqref="B1"/>
      <selection pane="bottomLeft" activeCell="A6" sqref="A6"/>
      <selection pane="bottomRight" sqref="A1:EN57"/>
    </sheetView>
  </sheetViews>
  <sheetFormatPr defaultColWidth="9.33203125" defaultRowHeight="12.75" outlineLevelCol="1"/>
  <cols>
    <col min="1" max="1" width="41.1640625" style="53" customWidth="1"/>
    <col min="2" max="2" width="7.33203125" style="53" hidden="1" customWidth="1" outlineLevel="1"/>
    <col min="3" max="13" width="7.6640625" style="53" hidden="1" customWidth="1" outlineLevel="1"/>
    <col min="14" max="14" width="2.83203125" style="53" hidden="1" customWidth="1" collapsed="1"/>
    <col min="15" max="20" width="7.6640625" style="53" hidden="1" customWidth="1" outlineLevel="1"/>
    <col min="21" max="21" width="8.33203125" style="53" hidden="1" customWidth="1" outlineLevel="1"/>
    <col min="22" max="22" width="7.83203125" style="53" hidden="1" customWidth="1" outlineLevel="1"/>
    <col min="23" max="23" width="7.1640625" style="53" hidden="1" customWidth="1" outlineLevel="1"/>
    <col min="24" max="26" width="9.33203125" style="53" hidden="1" customWidth="1" outlineLevel="1"/>
    <col min="27" max="27" width="2.6640625" style="53" hidden="1" customWidth="1" collapsed="1"/>
    <col min="28" max="39" width="9" style="53" hidden="1" customWidth="1" outlineLevel="1"/>
    <col min="40" max="40" width="3.5" style="53" hidden="1" customWidth="1" collapsed="1"/>
    <col min="41" max="41" width="12.6640625" style="53" hidden="1" customWidth="1" outlineLevel="1"/>
    <col min="42" max="52" width="9" style="53" hidden="1" customWidth="1" outlineLevel="1"/>
    <col min="53" max="53" width="3.6640625" style="53" hidden="1" customWidth="1" collapsed="1"/>
    <col min="54" max="54" width="9.5" style="53" hidden="1" customWidth="1" outlineLevel="1"/>
    <col min="55" max="55" width="10.1640625" style="53" hidden="1" customWidth="1" outlineLevel="1"/>
    <col min="56" max="56" width="9.33203125" style="53" hidden="1" customWidth="1" outlineLevel="1"/>
    <col min="57" max="58" width="9.6640625" style="53" hidden="1" customWidth="1" outlineLevel="1"/>
    <col min="59" max="59" width="12.6640625" style="53" hidden="1" customWidth="1" outlineLevel="1"/>
    <col min="60" max="61" width="9.33203125" style="53" hidden="1" customWidth="1" outlineLevel="1"/>
    <col min="62" max="62" width="12.6640625" style="53" hidden="1" customWidth="1" outlineLevel="1"/>
    <col min="63" max="63" width="9.33203125" style="53" hidden="1" customWidth="1" outlineLevel="1"/>
    <col min="64" max="65" width="12.6640625" style="53" hidden="1" customWidth="1" outlineLevel="1"/>
    <col min="66" max="66" width="2.6640625" style="53" hidden="1" customWidth="1" collapsed="1"/>
    <col min="67" max="78" width="12.6640625" style="53" hidden="1" customWidth="1"/>
    <col min="79" max="79" width="2.1640625" style="53" hidden="1" customWidth="1"/>
    <col min="80" max="89" width="12.6640625" style="53" hidden="1" customWidth="1"/>
    <col min="90" max="90" width="12.83203125" style="53" hidden="1" customWidth="1"/>
    <col min="91" max="91" width="12.6640625" style="53" hidden="1" customWidth="1"/>
    <col min="92" max="92" width="3.6640625" style="53" hidden="1" customWidth="1"/>
    <col min="93" max="104" width="12.83203125" style="53" hidden="1" customWidth="1"/>
    <col min="105" max="105" width="2.6640625" style="53" hidden="1" customWidth="1"/>
    <col min="106" max="116" width="12.6640625" style="53" hidden="1" customWidth="1"/>
    <col min="117" max="117" width="12.1640625" style="53" hidden="1" customWidth="1"/>
    <col min="118" max="118" width="2.5" style="53" hidden="1" customWidth="1"/>
    <col min="119" max="119" width="12.6640625" style="53" bestFit="1" customWidth="1"/>
    <col min="120" max="122" width="9.33203125" style="53"/>
    <col min="123" max="130" width="9.33203125" style="53" customWidth="1"/>
    <col min="131" max="131" width="2.33203125" style="53" customWidth="1"/>
    <col min="132" max="132" width="9.6640625" style="53" customWidth="1"/>
    <col min="133" max="134" width="9.33203125" style="53"/>
    <col min="135" max="135" width="9.33203125" style="53" customWidth="1"/>
    <col min="136" max="136" width="9.5" style="53" customWidth="1"/>
    <col min="137" max="138" width="9.6640625" style="53" customWidth="1"/>
    <col min="139" max="143" width="9.33203125" style="53" hidden="1" customWidth="1"/>
    <col min="144" max="16384" width="9.33203125" style="53"/>
  </cols>
  <sheetData>
    <row r="1" spans="1:144" s="43" customFormat="1" ht="33.75" customHeight="1">
      <c r="A1" s="301" t="s">
        <v>89</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301"/>
      <c r="BR1" s="301"/>
      <c r="BS1" s="301"/>
      <c r="BT1" s="301"/>
      <c r="BU1" s="301"/>
      <c r="BV1" s="301"/>
      <c r="BW1" s="301"/>
      <c r="BX1" s="301"/>
      <c r="BY1" s="301"/>
      <c r="BZ1" s="301"/>
      <c r="CA1" s="301"/>
      <c r="CB1" s="301"/>
      <c r="CC1" s="301"/>
      <c r="CD1" s="301"/>
      <c r="CE1" s="301"/>
      <c r="CF1" s="301"/>
      <c r="CG1" s="301"/>
      <c r="CH1" s="301"/>
      <c r="CI1" s="301"/>
      <c r="CJ1" s="301"/>
      <c r="CK1" s="301"/>
      <c r="CL1" s="301"/>
      <c r="CM1" s="301"/>
      <c r="CN1" s="301"/>
      <c r="CO1" s="301"/>
      <c r="CP1" s="301"/>
      <c r="CQ1" s="301"/>
      <c r="CR1" s="301"/>
      <c r="CS1" s="301"/>
      <c r="CT1" s="301"/>
      <c r="CU1" s="301"/>
      <c r="CV1" s="301"/>
      <c r="CW1" s="301"/>
      <c r="CX1" s="301"/>
      <c r="CY1" s="301"/>
      <c r="CZ1" s="301"/>
      <c r="DA1" s="301"/>
      <c r="DB1" s="301"/>
      <c r="DC1" s="301"/>
      <c r="DD1" s="301"/>
      <c r="DE1" s="301"/>
      <c r="DF1" s="301"/>
      <c r="DG1" s="301"/>
      <c r="DH1" s="301"/>
      <c r="DI1" s="301"/>
      <c r="DJ1" s="301"/>
      <c r="DK1" s="301"/>
      <c r="DL1" s="301"/>
      <c r="DM1" s="301"/>
      <c r="DN1" s="301"/>
      <c r="DO1" s="301"/>
      <c r="DP1" s="301"/>
      <c r="DQ1" s="301"/>
      <c r="DR1" s="301"/>
      <c r="DS1" s="301"/>
      <c r="DT1" s="301"/>
      <c r="DU1" s="301"/>
      <c r="DV1" s="301"/>
      <c r="DW1" s="301"/>
      <c r="DX1" s="301"/>
      <c r="DY1" s="301"/>
      <c r="DZ1" s="301"/>
      <c r="EA1" s="301"/>
      <c r="EB1" s="301"/>
      <c r="EC1" s="301"/>
      <c r="ED1" s="301"/>
      <c r="EE1" s="301"/>
      <c r="EF1" s="301"/>
      <c r="EG1" s="301"/>
      <c r="EH1" s="301"/>
      <c r="EI1" s="301"/>
      <c r="EJ1" s="301"/>
      <c r="EK1" s="301"/>
      <c r="EL1" s="301"/>
      <c r="EM1" s="301"/>
      <c r="EN1" s="301"/>
    </row>
    <row r="2" spans="1:144" s="46" customFormat="1" ht="6" customHeight="1">
      <c r="A2" s="128"/>
      <c r="B2" s="44"/>
      <c r="C2" s="45"/>
      <c r="D2" s="45"/>
      <c r="E2" s="45"/>
      <c r="F2" s="45"/>
      <c r="G2" s="45"/>
      <c r="H2" s="45"/>
      <c r="I2" s="45"/>
      <c r="J2" s="45"/>
      <c r="K2" s="45"/>
      <c r="L2" s="45"/>
      <c r="M2" s="45"/>
      <c r="N2" s="45"/>
    </row>
    <row r="3" spans="1:144" s="49" customFormat="1" ht="6" customHeight="1">
      <c r="A3" s="129"/>
      <c r="B3" s="47"/>
      <c r="C3" s="48"/>
      <c r="D3" s="48"/>
      <c r="E3" s="48"/>
      <c r="F3" s="48"/>
      <c r="G3" s="48"/>
      <c r="H3" s="48"/>
      <c r="I3" s="48"/>
      <c r="J3" s="48"/>
      <c r="K3" s="48"/>
      <c r="L3" s="48"/>
      <c r="M3" s="48"/>
      <c r="N3" s="48"/>
    </row>
    <row r="4" spans="1:144" s="50" customFormat="1">
      <c r="B4" s="51">
        <v>39083</v>
      </c>
      <c r="C4" s="51">
        <v>39114</v>
      </c>
      <c r="D4" s="51">
        <v>39142</v>
      </c>
      <c r="E4" s="51">
        <v>39173</v>
      </c>
      <c r="F4" s="51">
        <v>39203</v>
      </c>
      <c r="G4" s="51">
        <v>39234</v>
      </c>
      <c r="H4" s="51">
        <v>39264</v>
      </c>
      <c r="I4" s="51">
        <v>39295</v>
      </c>
      <c r="J4" s="51">
        <v>39326</v>
      </c>
      <c r="K4" s="51">
        <v>39356</v>
      </c>
      <c r="L4" s="51">
        <v>39387</v>
      </c>
      <c r="M4" s="51">
        <v>39417</v>
      </c>
      <c r="N4" s="51"/>
      <c r="O4" s="51">
        <v>39448</v>
      </c>
      <c r="P4" s="51">
        <v>39479</v>
      </c>
      <c r="Q4" s="51">
        <v>39508</v>
      </c>
      <c r="R4" s="51">
        <v>39539</v>
      </c>
      <c r="S4" s="51">
        <v>39569</v>
      </c>
      <c r="T4" s="51">
        <v>39600</v>
      </c>
      <c r="U4" s="51">
        <v>39630</v>
      </c>
      <c r="V4" s="51">
        <v>39661</v>
      </c>
      <c r="W4" s="51">
        <v>39692</v>
      </c>
      <c r="X4" s="51">
        <v>39722</v>
      </c>
      <c r="Y4" s="51">
        <v>39753</v>
      </c>
      <c r="Z4" s="51">
        <v>39783</v>
      </c>
      <c r="AA4" s="51"/>
      <c r="AB4" s="51">
        <v>39822</v>
      </c>
      <c r="AC4" s="51">
        <v>39854</v>
      </c>
      <c r="AD4" s="51">
        <v>39886</v>
      </c>
      <c r="AE4" s="51">
        <v>39918</v>
      </c>
      <c r="AF4" s="51">
        <v>39950</v>
      </c>
      <c r="AG4" s="51">
        <v>39982</v>
      </c>
      <c r="AH4" s="51">
        <v>40014</v>
      </c>
      <c r="AI4" s="51">
        <v>40046</v>
      </c>
      <c r="AJ4" s="51">
        <v>40078</v>
      </c>
      <c r="AK4" s="51">
        <v>40110</v>
      </c>
      <c r="AL4" s="51">
        <v>40142</v>
      </c>
      <c r="AM4" s="51">
        <v>40174</v>
      </c>
      <c r="AN4" s="51"/>
      <c r="AO4" s="51">
        <v>40206</v>
      </c>
      <c r="AP4" s="51">
        <v>40229</v>
      </c>
      <c r="AQ4" s="51">
        <v>40252</v>
      </c>
      <c r="AR4" s="51">
        <v>40283</v>
      </c>
      <c r="AS4" s="51">
        <v>40313</v>
      </c>
      <c r="AT4" s="51">
        <v>40344</v>
      </c>
      <c r="AU4" s="51">
        <v>40360</v>
      </c>
      <c r="AV4" s="51">
        <v>40391</v>
      </c>
      <c r="AW4" s="51">
        <v>40422</v>
      </c>
      <c r="AX4" s="51">
        <v>40452</v>
      </c>
      <c r="AY4" s="51">
        <v>40483</v>
      </c>
      <c r="AZ4" s="51">
        <v>40513</v>
      </c>
      <c r="BA4" s="51"/>
      <c r="BB4" s="51">
        <v>40544</v>
      </c>
      <c r="BC4" s="51">
        <v>40575</v>
      </c>
      <c r="BD4" s="51">
        <v>40603</v>
      </c>
      <c r="BE4" s="51">
        <v>40634</v>
      </c>
      <c r="BF4" s="51">
        <v>40664</v>
      </c>
      <c r="BG4" s="51">
        <v>40695</v>
      </c>
      <c r="BH4" s="51">
        <v>40725</v>
      </c>
      <c r="BI4" s="51">
        <v>40756</v>
      </c>
      <c r="BJ4" s="51">
        <v>40787</v>
      </c>
      <c r="BK4" s="51">
        <v>40817</v>
      </c>
      <c r="BL4" s="51">
        <v>40848</v>
      </c>
      <c r="BM4" s="51">
        <v>40878</v>
      </c>
      <c r="BO4" s="51">
        <v>40939</v>
      </c>
      <c r="BP4" s="51">
        <v>40968</v>
      </c>
      <c r="BQ4" s="51">
        <v>40969</v>
      </c>
      <c r="BR4" s="51">
        <v>41000</v>
      </c>
      <c r="BS4" s="51">
        <v>41030</v>
      </c>
      <c r="BT4" s="51">
        <v>41061</v>
      </c>
      <c r="BU4" s="51">
        <v>41091</v>
      </c>
      <c r="BV4" s="51">
        <v>41122</v>
      </c>
      <c r="BW4" s="51">
        <v>41153</v>
      </c>
      <c r="BX4" s="51">
        <v>41183</v>
      </c>
      <c r="BY4" s="51">
        <v>41214</v>
      </c>
      <c r="BZ4" s="51">
        <v>41244</v>
      </c>
      <c r="CA4" s="51"/>
      <c r="CB4" s="51">
        <v>41305</v>
      </c>
      <c r="CC4" s="51">
        <v>41333</v>
      </c>
      <c r="CD4" s="51">
        <v>41364</v>
      </c>
      <c r="CE4" s="51">
        <v>41394</v>
      </c>
      <c r="CF4" s="51">
        <v>41425</v>
      </c>
      <c r="CG4" s="51">
        <v>41455</v>
      </c>
      <c r="CH4" s="51">
        <v>41486</v>
      </c>
      <c r="CI4" s="51">
        <v>41517</v>
      </c>
      <c r="CJ4" s="51">
        <v>41518</v>
      </c>
      <c r="CK4" s="51">
        <v>41549</v>
      </c>
      <c r="CL4" s="51">
        <v>41581</v>
      </c>
      <c r="CM4" s="51">
        <v>41611</v>
      </c>
      <c r="CO4" s="51">
        <v>41670</v>
      </c>
      <c r="CP4" s="51">
        <v>41698</v>
      </c>
      <c r="CQ4" s="51">
        <v>41729</v>
      </c>
      <c r="CR4" s="51">
        <v>41759</v>
      </c>
      <c r="CS4" s="51">
        <v>41790</v>
      </c>
      <c r="CT4" s="51">
        <v>41820</v>
      </c>
      <c r="CU4" s="51">
        <v>41851</v>
      </c>
      <c r="CV4" s="51">
        <v>41882</v>
      </c>
      <c r="CW4" s="51">
        <v>41883</v>
      </c>
      <c r="CX4" s="51">
        <v>41914</v>
      </c>
      <c r="CY4" s="51">
        <v>41946</v>
      </c>
      <c r="CZ4" s="51">
        <v>41976</v>
      </c>
      <c r="DB4" s="51">
        <v>42035</v>
      </c>
      <c r="DC4" s="51">
        <v>42063</v>
      </c>
      <c r="DD4" s="51">
        <v>42094</v>
      </c>
      <c r="DE4" s="51">
        <v>42124</v>
      </c>
      <c r="DF4" s="51">
        <v>42155</v>
      </c>
      <c r="DG4" s="51">
        <v>42185</v>
      </c>
      <c r="DH4" s="51">
        <v>42216</v>
      </c>
      <c r="DI4" s="51">
        <v>42247</v>
      </c>
      <c r="DJ4" s="51">
        <v>42248</v>
      </c>
      <c r="DK4" s="51">
        <v>42279</v>
      </c>
      <c r="DL4" s="51">
        <v>42311</v>
      </c>
      <c r="DM4" s="51">
        <v>42341</v>
      </c>
      <c r="DO4" s="51">
        <v>42400</v>
      </c>
      <c r="DP4" s="51">
        <v>42428</v>
      </c>
      <c r="DQ4" s="51">
        <v>42460</v>
      </c>
      <c r="DR4" s="51">
        <v>42490</v>
      </c>
      <c r="DS4" s="51">
        <v>42521</v>
      </c>
      <c r="DT4" s="51">
        <v>42551</v>
      </c>
      <c r="DU4" s="51">
        <v>42582</v>
      </c>
      <c r="DV4" s="51">
        <v>42613</v>
      </c>
      <c r="DW4" s="51">
        <v>42614</v>
      </c>
      <c r="DX4" s="51">
        <v>42645</v>
      </c>
      <c r="DY4" s="51">
        <v>42677</v>
      </c>
      <c r="DZ4" s="51">
        <v>42707</v>
      </c>
      <c r="EB4" s="51">
        <v>42766</v>
      </c>
      <c r="EC4" s="51">
        <v>42794</v>
      </c>
      <c r="ED4" s="51">
        <v>42825</v>
      </c>
      <c r="EE4" s="51">
        <v>42855</v>
      </c>
      <c r="EF4" s="51">
        <v>42886</v>
      </c>
      <c r="EG4" s="51">
        <v>42916</v>
      </c>
      <c r="EH4" s="51">
        <v>42947</v>
      </c>
      <c r="EI4" s="51">
        <v>42978</v>
      </c>
      <c r="EJ4" s="51">
        <v>42979</v>
      </c>
      <c r="EK4" s="51">
        <v>43010</v>
      </c>
      <c r="EL4" s="51">
        <v>43042</v>
      </c>
      <c r="EM4" s="51">
        <v>43072</v>
      </c>
    </row>
    <row r="5" spans="1:144" s="46" customFormat="1" ht="6" customHeight="1"/>
    <row r="6" spans="1:144" s="49" customFormat="1" ht="6" customHeight="1"/>
    <row r="7" spans="1:144" s="49" customFormat="1" ht="12.75" customHeight="1">
      <c r="A7" s="302" t="s">
        <v>62</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02"/>
      <c r="DE7" s="302"/>
      <c r="DF7" s="302"/>
      <c r="DG7" s="302"/>
      <c r="DH7" s="302"/>
      <c r="DI7" s="302"/>
      <c r="DJ7" s="302"/>
      <c r="DK7" s="302"/>
      <c r="DL7" s="302"/>
      <c r="DM7" s="302"/>
      <c r="DN7" s="302"/>
      <c r="DO7" s="302"/>
      <c r="DP7" s="302"/>
      <c r="DQ7" s="302"/>
      <c r="DR7" s="302"/>
      <c r="DS7" s="302"/>
      <c r="DT7" s="302"/>
      <c r="DU7" s="302"/>
      <c r="DV7" s="302"/>
      <c r="DW7" s="302"/>
      <c r="DX7" s="302"/>
      <c r="DY7" s="302"/>
      <c r="DZ7" s="302"/>
      <c r="EA7" s="302"/>
      <c r="EB7" s="302"/>
      <c r="EC7" s="302"/>
      <c r="ED7" s="302"/>
      <c r="EE7" s="302"/>
      <c r="EF7" s="302"/>
      <c r="EG7" s="302"/>
      <c r="EH7" s="302"/>
      <c r="EI7" s="302"/>
      <c r="EJ7" s="302"/>
      <c r="EK7" s="302"/>
      <c r="EL7" s="302"/>
      <c r="EM7" s="302"/>
      <c r="EN7" s="302"/>
    </row>
    <row r="8" spans="1:144" ht="6" customHeight="1">
      <c r="A8" s="130"/>
      <c r="B8" s="52"/>
      <c r="C8" s="41"/>
      <c r="D8" s="41"/>
      <c r="E8" s="41"/>
      <c r="F8" s="41"/>
      <c r="G8" s="41"/>
      <c r="H8" s="41"/>
      <c r="I8" s="41"/>
      <c r="J8" s="41"/>
      <c r="K8" s="41"/>
      <c r="L8" s="41"/>
      <c r="M8" s="41"/>
      <c r="N8" s="41"/>
    </row>
    <row r="9" spans="1:144">
      <c r="A9" s="131" t="s">
        <v>75</v>
      </c>
      <c r="B9" s="39">
        <f>'[2]Monetary Survey'!Z23/SUM(Real!C8:N8)*100</f>
        <v>12.68729844295706</v>
      </c>
      <c r="C9" s="39">
        <f>'[2]Monetary Survey'!AA23/SUM(Real!D8:O8)*100</f>
        <v>13.613511108615933</v>
      </c>
      <c r="D9" s="39">
        <f>'[2]Monetary Survey'!AB23/SUM(Real!E8:P8)*100</f>
        <v>12.356143403225246</v>
      </c>
      <c r="E9" s="39">
        <f>'[2]Monetary Survey'!AC23/SUM(Real!F8:Q8)*100</f>
        <v>13.229927304007742</v>
      </c>
      <c r="F9" s="39">
        <f>'[2]Monetary Survey'!AD23/SUM(Real!G8:R8)*100</f>
        <v>14.310363864481927</v>
      </c>
      <c r="G9" s="39">
        <f>'[2]Monetary Survey'!AE23/SUM(Real!H8:S8)*100</f>
        <v>13.055295631210031</v>
      </c>
      <c r="H9" s="39">
        <f>'[2]Monetary Survey'!AF23/SUM(Real!I8:T8)*100</f>
        <v>15.838535369200246</v>
      </c>
      <c r="I9" s="39">
        <f>'[2]Monetary Survey'!AG23/SUM(Real!J8:U8)*100</f>
        <v>18.305380382600404</v>
      </c>
      <c r="J9" s="39">
        <f>'[2]Monetary Survey'!AH23/SUM(Real!K8:V8)*100</f>
        <v>14.514509393761488</v>
      </c>
      <c r="K9" s="39">
        <f>'[2]Monetary Survey'!AI23/SUM(Real!L8:W8)*100</f>
        <v>16.916361156259981</v>
      </c>
      <c r="L9" s="39">
        <f>'[2]Monetary Survey'!AJ23/SUM(Real!M8:X8)*100</f>
        <v>20.895195633904919</v>
      </c>
      <c r="M9" s="39">
        <f>'[2]Monetary Survey'!AK23/SUM(Real!N8:Y8)*100</f>
        <v>17.814324299689893</v>
      </c>
      <c r="O9" s="39">
        <f>'[2]Monetary Survey'!AL23/SUM(Real!O8:AA8)*100</f>
        <v>17.063937393332083</v>
      </c>
      <c r="P9" s="39">
        <f>'[2]Monetary Survey'!AM23/SUM(Real!P8:AB8)*100</f>
        <v>17.358725951637126</v>
      </c>
      <c r="Q9" s="39">
        <f>'[2]Monetary Survey'!AN23/SUM(Real!Q8:AC8)*100</f>
        <v>16.650021979601373</v>
      </c>
      <c r="R9" s="39">
        <f>'[2]Monetary Survey'!AO23/SUM(Real!R$8:AD$8)*100</f>
        <v>16.837870133950688</v>
      </c>
      <c r="S9" s="39">
        <f>'[2]Monetary Survey'!AP23/SUM(Real!S$8:AE$8)*100</f>
        <v>17.201012347176206</v>
      </c>
      <c r="T9" s="39">
        <f>'[2]Monetary Survey'!AQ23/SUM(Real!T$8:AF$8)*100</f>
        <v>16.979426351902298</v>
      </c>
      <c r="U9" s="39">
        <f>'[2]Monetary Survey'!AR23/SUM(Real!U$8:AG$8)*100</f>
        <v>17.569815812863592</v>
      </c>
      <c r="V9" s="39">
        <f>'[2]Monetary Survey'!AS23/SUM(Real!V$8:AH$8)*100</f>
        <v>17.878008755502538</v>
      </c>
      <c r="W9" s="39">
        <f>'[2]Monetary Survey'!AT23/SUM(Real!W$8:AI$8)*100</f>
        <v>16.978879351056268</v>
      </c>
      <c r="X9" s="39">
        <f>'[2]Monetary Survey'!AU23/SUM(Real!X$8:AJ$8)*100</f>
        <v>16.746984118988298</v>
      </c>
      <c r="Y9" s="39">
        <f>'[2]Monetary Survey'!AV23/SUM(Real!Y$8:AK$8)*100</f>
        <v>16.101739773867756</v>
      </c>
      <c r="Z9" s="39">
        <f>'[2]Monetary Survey'!AW23/SUM(Real!AA$8:AL$8)*100</f>
        <v>15.010320624158055</v>
      </c>
      <c r="AB9" s="39">
        <f>'[2]Monetary Survey'!AX23/SUM(Real!AB$8:AN$8)*100</f>
        <v>13.231408669318068</v>
      </c>
      <c r="AC9" s="39">
        <f>'[2]Monetary Survey'!AY23/SUM(Real!AC$8:AO$8)*100</f>
        <v>10.778434080956607</v>
      </c>
      <c r="AD9" s="39">
        <f>'[2]Monetary Survey'!AZ23/SUM(Real!AD$8:AP$8)*100</f>
        <v>10.020423716567008</v>
      </c>
      <c r="AE9" s="39">
        <f>'[2]Monetary Survey'!BA23/SUM(Real!AE$8:AQ$8)*100</f>
        <v>10.138021675070027</v>
      </c>
      <c r="AF9" s="39">
        <f>'[2]Monetary Survey'!BB23/SUM(Real!AF$8:AR$8)*100</f>
        <v>10.375674138048732</v>
      </c>
      <c r="AG9" s="39">
        <f>'[2]Monetary Survey'!BC23/SUM(Real!AG$8:AS$8)*100</f>
        <v>11.075621683938953</v>
      </c>
      <c r="AH9" s="39">
        <f>'[2]Monetary Survey'!BD23/SUM(Real!AH$8:AT$8)*100</f>
        <v>12.37626253664366</v>
      </c>
      <c r="AI9" s="39">
        <f>'[2]Monetary Survey'!BE23/SUM(Real!AI$8:AU$8)*100</f>
        <v>12.546825248746195</v>
      </c>
      <c r="AJ9" s="39">
        <f>'[2]Monetary Survey'!BF23/SUM(Real!AJ$8:AV$8)*100</f>
        <v>13.511279619423448</v>
      </c>
      <c r="AK9" s="39">
        <f>'[2]Monetary Survey'!BG23/SUM(Real!AK$8:AW$8)*100</f>
        <v>13.872759251658657</v>
      </c>
      <c r="AL9" s="39">
        <f>'[2]Monetary Survey'!BH23/SUM(Real!AL$8:AX$8)*100</f>
        <v>13.828180723768464</v>
      </c>
      <c r="AM9" s="39">
        <f>'[2]Monetary Survey'!BI23/SUM(Real!AM$8:AY$8)*100</f>
        <v>14.431739255617506</v>
      </c>
      <c r="AN9" s="39"/>
      <c r="AO9" s="39">
        <f>'[2]Monetary Survey'!BJ23/SUM(Real!AO$8:BA$8)*100</f>
        <v>13.207325756944355</v>
      </c>
      <c r="AP9" s="39">
        <f>'[2]Monetary Survey'!BK23/SUM(Real!AP$8:BB$8)*100</f>
        <v>13.379500123107244</v>
      </c>
      <c r="AQ9" s="39">
        <f>'[2]Monetary Survey'!BL23/SUM(Real!AQ$8:BC$8)*100</f>
        <v>12.683142785700305</v>
      </c>
      <c r="AR9" s="39">
        <f>'[2]Monetary Survey'!BM23/SUM(Real!AR$8:BD$8)*100</f>
        <v>12.933224041756564</v>
      </c>
      <c r="AS9" s="39">
        <f>'[2]Monetary Survey'!BN23/SUM(Real!AS$8:BE$8)*100</f>
        <v>13.112827417436032</v>
      </c>
      <c r="AT9" s="39">
        <f>'[2]Monetary Survey'!BO23/SUM(Real!AT$8:BF$8)*100</f>
        <v>13.188807508532038</v>
      </c>
      <c r="AU9" s="39">
        <f>'[2]Monetary Survey'!BP23/SUM(Real!AU$8:BG$8)*100</f>
        <v>13.643102277351352</v>
      </c>
      <c r="AV9" s="39">
        <f>'[2]Monetary Survey'!BQ23/SUM(Real!AV$8:BH$8)*100</f>
        <v>13.677437421340136</v>
      </c>
      <c r="AW9" s="39">
        <f>'[2]Monetary Survey'!BR23/SUM(Real!AW$8:BI$8)*100</f>
        <v>13.743393456129633</v>
      </c>
      <c r="AX9" s="39">
        <f>'[2]Monetary Survey'!BS23/SUM(Real!AX$8:BJ$8)*100</f>
        <v>14.115429174212633</v>
      </c>
      <c r="AY9" s="39">
        <f>'[2]Monetary Survey'!BT23/SUM(Real!AY$8:BK$8)*100</f>
        <v>14.414613122932352</v>
      </c>
      <c r="AZ9" s="39">
        <f>IF(Real!BL8&lt;&gt;0,'[2]Monetary Survey'!BU23/SUM(Real!AZ$8:BL$8)*100,"")</f>
        <v>15.064249498042411</v>
      </c>
      <c r="BA9" s="39"/>
      <c r="BB9" s="39">
        <f>+'[2]Monetary Survey'!BV23/SUM(Real!$BD$8:$BP$8)*100</f>
        <v>13.638467129111259</v>
      </c>
      <c r="BC9" s="39">
        <f>+'[2]Monetary Survey'!BW23/SUM(Real!$BD$8:$BP$8)*100</f>
        <v>13.96327091771718</v>
      </c>
      <c r="BD9" s="39">
        <f>+'[2]Monetary Survey'!BX23/SUM(Real!$BD$8:$BP$8)*100</f>
        <v>14.341415179866035</v>
      </c>
      <c r="BE9" s="39">
        <f>+'[2]Monetary Survey'!BY23/SUM(Real!$BG$8:$BS$8)*100</f>
        <v>13.957826827723755</v>
      </c>
      <c r="BF9" s="39">
        <f>+'[2]Monetary Survey'!BZ23/SUM(Real!$BG$8:$BS$8)*100</f>
        <v>14.507418421745918</v>
      </c>
      <c r="BG9" s="39">
        <f>+'[2]Monetary Survey'!CA23/SUM(Real!$BJ$8:$BV$8)*100</f>
        <v>14.688036697763545</v>
      </c>
      <c r="BH9" s="39">
        <f>+'[2]Monetary Survey'!CB23/SUM(Real!$BJ$8:$BV$8)*100</f>
        <v>15.669973219978461</v>
      </c>
      <c r="BI9" s="39">
        <f>+'[2]Monetary Survey'!CC23/SUM(Real!$BJ$8:$BV$8)*100</f>
        <v>15.697658842990995</v>
      </c>
      <c r="BJ9" s="39">
        <f>+'[2]Monetary Survey'!CD23/SUM(Real!$BN$8:$BY$8)*100</f>
        <v>15.584087764440016</v>
      </c>
      <c r="BK9" s="39">
        <f>+'[2]Monetary Survey'!CE23/SUM(Real!$BN$8:$BY$8)*100</f>
        <v>15.89497617009096</v>
      </c>
      <c r="BL9" s="39">
        <f>+'[2]Monetary Survey'!CF23/SUM(Real!$BN$8:$BY$8)*100</f>
        <v>16.183309559020646</v>
      </c>
      <c r="BM9" s="39">
        <f>+'[2]Monetary Survey'!CG23/SUM(Real!$BN$8:$BY$8)*100</f>
        <v>17.366206143942357</v>
      </c>
      <c r="BN9" s="39"/>
      <c r="BO9" s="39">
        <f>BO14/SUM(Real!$BN$8:$BY$8)*100</f>
        <v>16.324978689523746</v>
      </c>
      <c r="BP9" s="39">
        <f>BP14/SUM(Real!$BN$8:$BY$8)*100</f>
        <v>16.606006594075627</v>
      </c>
      <c r="BQ9" s="39">
        <f>BQ14/SUM(Real!$BS$8:$CC$8)*100</f>
        <v>16.874492454031184</v>
      </c>
      <c r="BR9" s="39">
        <f>BR14/SUM(Real!$BS$8:$CC$8)*100</f>
        <v>17.185072042734216</v>
      </c>
      <c r="BS9" s="39">
        <f>BS14/SUM(Real!$BS$8:$CC$8)*100</f>
        <v>17.15965527608622</v>
      </c>
      <c r="BT9" s="39">
        <f>BT14/SUM(Real!$BV$8:$CF$8)*100</f>
        <v>16.813742692376053</v>
      </c>
      <c r="BU9" s="39">
        <f>BU14/SUM(Real!$BV$8:$CF$8)*100</f>
        <v>17.364279977597082</v>
      </c>
      <c r="BV9" s="39">
        <f>BV14/SUM(Real!$BV$8:$CF$8)*100</f>
        <v>17.408687306143914</v>
      </c>
      <c r="BW9" s="39">
        <f>BW14/SUM(Real!$BY$8:$CI$8)*100</f>
        <v>17.444798285539598</v>
      </c>
      <c r="BX9" s="39">
        <f>BX14/SUM(Real!$BY$8:$CI$8)*100</f>
        <v>17.790346050610932</v>
      </c>
      <c r="BY9" s="39">
        <f>BY14/SUM(Real!$BY$8:$CI$8)*100</f>
        <v>17.972500159297926</v>
      </c>
      <c r="BZ9" s="39">
        <f>BZ14/SUM(Real!$CA$8:$CL$8)*100</f>
        <v>18.501819042136646</v>
      </c>
      <c r="CA9" s="39"/>
      <c r="CB9" s="39">
        <f>CB14/SUM(Real!$CA$8:$CL$8)*100</f>
        <v>17.796662848763802</v>
      </c>
      <c r="CC9" s="39">
        <f>CC14/SUM(Real!$CA$8:$CL$8)*100</f>
        <v>17.957544124159341</v>
      </c>
      <c r="CD9" s="39">
        <f>CD14/SUM(Real!$CF$8:$CP$8)*100</f>
        <v>17.672361226768977</v>
      </c>
      <c r="CE9" s="39">
        <f>CE14/SUM(Real!$CF$8:$CP$8)*100</f>
        <v>18.039276250038782</v>
      </c>
      <c r="CF9" s="39">
        <f>CF14/SUM(Real!$CF$8:$CP$8)*100</f>
        <v>18.080921051398956</v>
      </c>
      <c r="CG9" s="39">
        <f>CG14/SUM(Real!$CI$8:$CS$8)*100</f>
        <v>18.077419000171592</v>
      </c>
      <c r="CH9" s="39">
        <f>CH14/SUM(Real!$CI$8:$CS$8)*100</f>
        <v>18.552051060640036</v>
      </c>
      <c r="CI9" s="39">
        <f>CI14/SUM(Real!$CI$8:$CS$8)*100</f>
        <v>18.489860984897316</v>
      </c>
      <c r="CJ9" s="39">
        <f>CJ14/SUM(Real!$CL$8:$CV$8)*100</f>
        <v>18.451198689419098</v>
      </c>
      <c r="CK9" s="39">
        <f>CK14/SUM(Real!$CL$8:$CV$8)*100</f>
        <v>18.754500504105863</v>
      </c>
      <c r="CL9" s="39">
        <f>CL14/SUM(Real!$CL$8:$CV$8)*100</f>
        <v>19.021963332554844</v>
      </c>
      <c r="CM9" s="39">
        <f>CM14/SUM(Real!$CP$8:$CY$8)*100</f>
        <v>19.996478409355834</v>
      </c>
      <c r="CO9" s="39">
        <f>CO14/SUM(Real!$CP$8:$CY$8)*100</f>
        <v>18.703423509408548</v>
      </c>
      <c r="CP9" s="39">
        <f>CP14/SUM(Real!$CP$8:$CY$8)*100</f>
        <v>18.677938492191277</v>
      </c>
      <c r="CQ9" s="39">
        <f>CQ14/SUM(Real!$CP$8:$CY$8)*100</f>
        <v>18.727683623229211</v>
      </c>
      <c r="CR9" s="39">
        <f>CR14/SUM(Real!$CS$8:$DC$8)*100</f>
        <v>19.021554824270456</v>
      </c>
      <c r="CS9" s="39">
        <f>CS14/SUM(Real!$CS$8:$DC$8)*100</f>
        <v>19.464715937463222</v>
      </c>
      <c r="CT9" s="39">
        <f>CT14/SUM(Real!$CS$8:$DC$8)*100</f>
        <v>19.751036992230862</v>
      </c>
      <c r="CU9" s="39">
        <f>CU14/SUM(Real!$CV$8:$DF$8)*100</f>
        <v>20.072089504327888</v>
      </c>
      <c r="CV9" s="39">
        <f>CV14/SUM(Real!$CV$8:$DF$8)*100</f>
        <v>19.951943676648447</v>
      </c>
      <c r="CW9" s="39">
        <f>CW14/SUM(Real!$CV$8:$DF$8)*100</f>
        <v>20.278676668290352</v>
      </c>
      <c r="CX9" s="166">
        <f>CX14/SUM(Real!$CY$8:$DI$8)*100</f>
        <v>20.23411943864037</v>
      </c>
      <c r="CY9" s="166">
        <f>CY14/SUM(Real!$CY$8:$DI$8)*100</f>
        <v>19.510451807558439</v>
      </c>
      <c r="CZ9" s="166">
        <f>CZ14/SUM(Real!$CY$8:$DI$8)*100</f>
        <v>18.820513323806814</v>
      </c>
      <c r="DB9" s="166">
        <f>DB14/SUM(Real!$DC$8:$DL$8)*100</f>
        <v>17.384214585501191</v>
      </c>
      <c r="DC9" s="166">
        <f>DC14/SUM(Real!$DC$8:$DL$8)*100</f>
        <v>16.876943212076529</v>
      </c>
      <c r="DD9" s="166">
        <f>DD14/SUM(Real!$DC$8:$DL$8)*100</f>
        <v>17.508703042130058</v>
      </c>
      <c r="DE9" s="166">
        <f>DE14/SUM(Real!$DF$8:$DP$8)*100</f>
        <v>17.508649689473838</v>
      </c>
      <c r="DF9" s="166">
        <f>DF14/SUM(Real!$DF$8:$DP$8)*100</f>
        <v>17.670562369532863</v>
      </c>
      <c r="DG9" s="166">
        <f>DG14/SUM(Real!$DF$8:$DP$8)*100</f>
        <v>18.043901669797044</v>
      </c>
      <c r="DH9" s="166">
        <f>DH14/SUM(Real!$DI$8:$DS$8)*100</f>
        <v>18.090838875480475</v>
      </c>
      <c r="DI9" s="166">
        <f>DI14/SUM(Real!$DI$8:$DS$8)*100</f>
        <v>17.410559196311254</v>
      </c>
      <c r="DJ9" s="166">
        <f>DJ14/SUM(Real!$DI$8:$DS$8)*100</f>
        <v>17.245347644161097</v>
      </c>
      <c r="DK9" s="166">
        <f>DK14/SUM(Real!$DL$8:$DV$8)*100</f>
        <v>17.279969932961567</v>
      </c>
      <c r="DL9" s="166">
        <f>DL14/SUM(Real!$DL$8:$DV$8)*100</f>
        <v>17.070173622234002</v>
      </c>
      <c r="DM9" s="166">
        <f>DM14/SUM(Real!$DL$8:$DV$8)*100</f>
        <v>18.009561249723525</v>
      </c>
      <c r="DO9" s="166">
        <f>DO14/SUM(Real!$DP$8:$DY$8)*100</f>
        <v>16.779559303961435</v>
      </c>
      <c r="DP9" s="166">
        <f>DP14/SUM(Real!$DP$8:$DY$8)*100</f>
        <v>17.22854523624278</v>
      </c>
      <c r="DQ9" s="166">
        <f>DQ14/SUM(Real!$DP$8:$DY$8)*100</f>
        <v>17.520956759322619</v>
      </c>
      <c r="DR9" s="166">
        <f>DR14/SUM(Real!$DS$8:$EC$8)*100</f>
        <v>17.940506856633093</v>
      </c>
      <c r="DS9" s="166">
        <f>DS14/SUM(Real!$DS$8:$EC$8)*100</f>
        <v>18.234853774781573</v>
      </c>
      <c r="DT9" s="166">
        <f>DT14/SUM(Real!$DS$8:$EC$8)*100</f>
        <v>19.006882380385445</v>
      </c>
      <c r="DU9" s="166">
        <f>DU14/SUM(Real!$DV$8:$EF$8)*100</f>
        <v>19.40089406901004</v>
      </c>
      <c r="DV9" s="166">
        <f>DV14/SUM(Real!$DV$8:$EF$8)*100</f>
        <v>19.361253955438439</v>
      </c>
      <c r="DW9" s="166">
        <f>DW14/SUM(Real!$DV$8:$EF$8)*100</f>
        <v>19.658604110100178</v>
      </c>
      <c r="DX9" s="166">
        <f>DX14/SUM(Real!$DY$8:$EI$8)*100</f>
        <v>20.030772385948286</v>
      </c>
      <c r="DY9" s="166">
        <f>DY14/SUM(Real!$DY$8:$EI$8)*100</f>
        <v>20.49372624186924</v>
      </c>
      <c r="DZ9" s="166">
        <f>DZ14/SUM(Real!$DY$8:$EI$8)*100</f>
        <v>21.118154490074062</v>
      </c>
      <c r="EB9" s="166">
        <f>EB14/SUM(Real!$EC$8:$EL$8)*100</f>
        <v>20.662198354950114</v>
      </c>
      <c r="EC9" s="166">
        <f>EC14/SUM(Real!$EC$8:$EL$8)*100</f>
        <v>21.185547370109582</v>
      </c>
      <c r="ED9" s="166">
        <f>ED14/SUM(Real!$EC$8:$EL$8)*100</f>
        <v>21.598689283401054</v>
      </c>
      <c r="EE9" s="166">
        <f>EE14/SUM(Real!$EF$8:$EP$8)*100</f>
        <v>21.332509012295763</v>
      </c>
      <c r="EF9" s="166">
        <f>EF14/SUM(Real!$EF$8:$EP$8)*100</f>
        <v>21.617769630617122</v>
      </c>
      <c r="EG9" s="166">
        <f>EG14/SUM(Real!$EF$8:$EP$8)*100</f>
        <v>22.20020033324678</v>
      </c>
      <c r="EH9" s="166">
        <f>EH14/SUM(Real!$EI$8:$ES$8)*100</f>
        <v>23.186456681278763</v>
      </c>
    </row>
    <row r="10" spans="1:144" s="168" customFormat="1">
      <c r="A10" s="183" t="s">
        <v>76</v>
      </c>
      <c r="B10" s="166">
        <f>'[2]Monetary Survey'!Z22/SUM(Real!C8:N8)*100</f>
        <v>17.803292146210566</v>
      </c>
      <c r="C10" s="166">
        <f>'[2]Monetary Survey'!AA22/SUM(Real!D8:O8)*100</f>
        <v>18.859295720786807</v>
      </c>
      <c r="D10" s="166">
        <f>'[2]Monetary Survey'!AB22/SUM(Real!E8:P8)*100</f>
        <v>17.191100415780316</v>
      </c>
      <c r="E10" s="166">
        <f>'[2]Monetary Survey'!AC22/SUM(Real!F8:Q8)*100</f>
        <v>18.456638512630537</v>
      </c>
      <c r="F10" s="166">
        <f>'[2]Monetary Survey'!AD22/SUM(Real!G8:R8)*100</f>
        <v>19.676235859037146</v>
      </c>
      <c r="G10" s="166">
        <f>'[2]Monetary Survey'!AE22/SUM(Real!H8:S8)*100</f>
        <v>17.716939615677102</v>
      </c>
      <c r="H10" s="166">
        <f>'[2]Monetary Survey'!AF22/SUM(Real!I8:T8)*100</f>
        <v>20.768455496914818</v>
      </c>
      <c r="I10" s="166">
        <f>'[2]Monetary Survey'!AG22/SUM(Real!J8:U8)*100</f>
        <v>23.825261879828648</v>
      </c>
      <c r="J10" s="166">
        <f>'[2]Monetary Survey'!AH22/SUM(Real!K8:V8)*100</f>
        <v>18.913028123224848</v>
      </c>
      <c r="K10" s="166">
        <f>'[2]Monetary Survey'!AI22/SUM(Real!L8:W8)*100</f>
        <v>21.71045741416247</v>
      </c>
      <c r="L10" s="166">
        <f>'[2]Monetary Survey'!AJ22/SUM(Real!M8:X8)*100</f>
        <v>26.024104626124839</v>
      </c>
      <c r="M10" s="166">
        <f>'[2]Monetary Survey'!AK22/SUM(Real!N8:Y8)*100</f>
        <v>21.952399282909884</v>
      </c>
      <c r="O10" s="166">
        <f>'[2]Monetary Survey'!AL22/SUM(Real!O8:AA8)*100</f>
        <v>21.065646209464667</v>
      </c>
      <c r="P10" s="166">
        <f>'[2]Monetary Survey'!AM22/SUM(Real!P8:AB8)*100</f>
        <v>21.393912506530853</v>
      </c>
      <c r="Q10" s="166">
        <f>'[2]Monetary Survey'!AN22/SUM(Real!Q8:AC8)*100</f>
        <v>20.967797626865618</v>
      </c>
      <c r="R10" s="166">
        <f>'[2]Monetary Survey'!AO22/SUM(Real!R$8:AD$8)*100</f>
        <v>21.392357755869245</v>
      </c>
      <c r="S10" s="166">
        <f>'[2]Monetary Survey'!AP22/SUM(Real!S$8:AE$8)*100</f>
        <v>21.539188049410551</v>
      </c>
      <c r="T10" s="166">
        <f>'[2]Monetary Survey'!AQ22/SUM(Real!T$8:AF$8)*100</f>
        <v>21.328986820962349</v>
      </c>
      <c r="U10" s="166">
        <f>'[2]Monetary Survey'!AR22/SUM(Real!U$8:AG$8)*100</f>
        <v>22.192933218703004</v>
      </c>
      <c r="V10" s="166">
        <f>'[2]Monetary Survey'!AS22/SUM(Real!V$8:AH$8)*100</f>
        <v>22.561075219975702</v>
      </c>
      <c r="W10" s="166">
        <f>'[2]Monetary Survey'!AT22/SUM(Real!W$8:AI$8)*100</f>
        <v>21.161848852706282</v>
      </c>
      <c r="X10" s="166">
        <f>'[2]Monetary Survey'!AU22/SUM(Real!X$8:AJ$8)*100</f>
        <v>21.196780184355461</v>
      </c>
      <c r="Y10" s="166">
        <f>'[2]Monetary Survey'!AV22/SUM(Real!Y$8:AK$8)*100</f>
        <v>20.258076484642558</v>
      </c>
      <c r="Z10" s="166">
        <f>'[2]Monetary Survey'!AW22/SUM(Real!Z$8:AL$8)*100</f>
        <v>19.847999986802968</v>
      </c>
      <c r="AB10" s="166">
        <f>'[2]Monetary Survey'!AX22/SUM(Real!AB$8:AN$8)*100</f>
        <v>18.558384813093198</v>
      </c>
      <c r="AC10" s="166">
        <f>'[2]Monetary Survey'!AY22/SUM(Real!AC$8:AO$8)*100</f>
        <v>17.657214374324106</v>
      </c>
      <c r="AD10" s="166">
        <f>'[2]Monetary Survey'!AZ22/SUM(Real!AD$8:AP$8)*100</f>
        <v>18.05605967403687</v>
      </c>
      <c r="AE10" s="166">
        <f>'[2]Monetary Survey'!BA22/SUM(Real!AE$8:AQ$8)*100</f>
        <v>18.197291597229025</v>
      </c>
      <c r="AF10" s="166">
        <f>'[2]Monetary Survey'!BB22/SUM(Real!AF$8:AR$8)*100</f>
        <v>18.534606930592066</v>
      </c>
      <c r="AG10" s="166">
        <f>'[2]Monetary Survey'!BC22/SUM(Real!AG$8:AS$8)*100</f>
        <v>19.466750593368591</v>
      </c>
      <c r="AH10" s="166">
        <f>'[2]Monetary Survey'!BD22/SUM(Real!AH$8:AT$8)*100</f>
        <v>21.392227909694526</v>
      </c>
      <c r="AI10" s="166">
        <f>'[2]Monetary Survey'!BE22/SUM(Real!AI$8:AU$8)*100</f>
        <v>21.947119530818195</v>
      </c>
      <c r="AJ10" s="166">
        <f>'[2]Monetary Survey'!BF22/SUM(Real!AJ$8:AV$8)*100</f>
        <v>23.918488089117954</v>
      </c>
      <c r="AK10" s="166">
        <f>'[2]Monetary Survey'!BG22/SUM(Real!AK$8:AW$8)*100</f>
        <v>24.579412376507058</v>
      </c>
      <c r="AL10" s="166">
        <f>'[2]Monetary Survey'!BH22/SUM(Real!AL$8:AX$8)*100</f>
        <v>24.856746330521752</v>
      </c>
      <c r="AM10" s="166">
        <f>'[2]Monetary Survey'!BI22/SUM(Real!AM$8:AY$8)*100</f>
        <v>26.228903799479951</v>
      </c>
      <c r="AN10" s="166"/>
      <c r="AO10" s="166">
        <f>'[2]Monetary Survey'!BJ22/SUM(Real!AO$8:BA$8)*100</f>
        <v>25.11707464640725</v>
      </c>
      <c r="AP10" s="166">
        <f>'[2]Monetary Survey'!BK22/SUM(Real!AP$8:BB$8)*100</f>
        <v>25.753909866659281</v>
      </c>
      <c r="AQ10" s="166">
        <f>'[2]Monetary Survey'!BL22/SUM(Real!AQ$8:BC$8)*100</f>
        <v>25.84142671930887</v>
      </c>
      <c r="AR10" s="166">
        <f>'[2]Monetary Survey'!BM22/SUM(Real!AR$8:BD$8)*100</f>
        <v>25.334422325941304</v>
      </c>
      <c r="AS10" s="166">
        <f>'[2]Monetary Survey'!BN22/SUM(Real!AS$8:BE$8)*100</f>
        <v>24.753443375703277</v>
      </c>
      <c r="AT10" s="166">
        <f>'[2]Monetary Survey'!BO22/SUM(Real!AT$8:BF$8)*100</f>
        <v>24.336814395155031</v>
      </c>
      <c r="AU10" s="166">
        <f>'[2]Monetary Survey'!BP22/SUM(Real!AU$8:BG$8)*100</f>
        <v>24.963314419987455</v>
      </c>
      <c r="AV10" s="166">
        <f>'[2]Monetary Survey'!BQ22/SUM(Real!AV$8:BH$8)*100</f>
        <v>24.813296161885905</v>
      </c>
      <c r="AW10" s="166">
        <f>'[2]Monetary Survey'!BR22/SUM(Real!AW$8:BI$8)*100</f>
        <v>24.514229034770629</v>
      </c>
      <c r="AX10" s="166">
        <f>'[2]Monetary Survey'!BS22/SUM(Real!AX$8:BJ$8)*100</f>
        <v>24.964041846540024</v>
      </c>
      <c r="AY10" s="166">
        <f>'[2]Monetary Survey'!BT22/SUM(Real!AY$8:BK$8)*100</f>
        <v>25.374942074620314</v>
      </c>
      <c r="AZ10" s="166">
        <f>IF(Real!BL8&lt;&gt;0,'[2]Monetary Survey'!BU22/SUM(Real!AZ$8:BL$8)*100,"")</f>
        <v>26.333809556769605</v>
      </c>
      <c r="BA10" s="166"/>
      <c r="BB10" s="166">
        <f>'[2]Monetary Survey'!BV22/SUM(Real!$BD$8:$BP$8)*100</f>
        <v>25.005045305786965</v>
      </c>
      <c r="BC10" s="166">
        <f>'[2]Monetary Survey'!BW22/SUM(Real!$BD$8:$BP$8)*100</f>
        <v>25.467134948950047</v>
      </c>
      <c r="BD10" s="166">
        <f>'[2]Monetary Survey'!BX22/SUM(Real!$BD$8:$BP$8)*100</f>
        <v>26.360203010649908</v>
      </c>
      <c r="BE10" s="166">
        <f>'[2]Monetary Survey'!BY22/SUM(Real!$BG$8:$BS$8)*100</f>
        <v>25.670659734411398</v>
      </c>
      <c r="BF10" s="166">
        <f>'[2]Monetary Survey'!BZ22/SUM(Real!$BG$8:$BS$8)*100</f>
        <v>26.371279119241787</v>
      </c>
      <c r="BG10" s="166">
        <f>'[2]Monetary Survey'!CA22/SUM(Real!$BJ$8:$BV$8)*100</f>
        <v>26.341478053170032</v>
      </c>
      <c r="BH10" s="166">
        <f>'[2]Monetary Survey'!CB22/SUM(Real!$BJ$8:$BV$8)*100</f>
        <v>27.331462914035466</v>
      </c>
      <c r="BI10" s="166">
        <f>'[2]Monetary Survey'!CC22/SUM(Real!$BJ$8:$BV$8)*100</f>
        <v>27.475185263356405</v>
      </c>
      <c r="BJ10" s="166">
        <f>'[2]Monetary Survey'!CD22/SUM(Real!$BN$8:$BY$8)*100</f>
        <v>27.050804450037607</v>
      </c>
      <c r="BK10" s="166">
        <f>'[2]Monetary Survey'!CE22/SUM(Real!$BN$8:$BY$8)*100</f>
        <v>27.67314567544064</v>
      </c>
      <c r="BL10" s="166">
        <f>'[2]Monetary Survey'!CF22/SUM(Real!$BN$8:$BY$8)*100</f>
        <v>28.444406797649492</v>
      </c>
      <c r="BM10" s="166">
        <f>'[2]Monetary Survey'!CG22/SUM(Real!$BN$8:$BY$8)*100</f>
        <v>29.820941622481271</v>
      </c>
      <c r="BN10" s="166"/>
      <c r="BO10" s="166">
        <f>BO15/SUM(Real!$BN$8:$BY$8)*100</f>
        <v>29.021669278398821</v>
      </c>
      <c r="BP10" s="166">
        <f>BP15/SUM(Real!$BN$8:$BY$8)*100</f>
        <v>29.469148266841373</v>
      </c>
      <c r="BQ10" s="166">
        <f>BQ15/SUM(Real!$BS$8:$CC$8)*100</f>
        <v>29.598083571859334</v>
      </c>
      <c r="BR10" s="166">
        <f>BR15/SUM(Real!$BS$8:$CC$8)*100</f>
        <v>30.132246540018599</v>
      </c>
      <c r="BS10" s="166">
        <f>BS15/SUM(Real!$BS$8:$CC$8)*100</f>
        <v>30.713186328802689</v>
      </c>
      <c r="BT10" s="166">
        <f>BT15/SUM(Real!$BV$8:$CF$8)*100</f>
        <v>30.772034001307308</v>
      </c>
      <c r="BU10" s="166">
        <f>BU15/SUM(Real!$BV$8:$CF$8)*100</f>
        <v>31.243611604003902</v>
      </c>
      <c r="BV10" s="166">
        <f>BV15/SUM(Real!$BV$8:$CF$8)*100</f>
        <v>31.901759202206097</v>
      </c>
      <c r="BW10" s="166">
        <f>BW15/SUM(Real!$BY$8:$CI$8)*100</f>
        <v>32.035477425071861</v>
      </c>
      <c r="BX10" s="166">
        <f>BX15/SUM(Real!$BY$8:$CI$8)*100</f>
        <v>32.336915604432093</v>
      </c>
      <c r="BY10" s="166">
        <f>BY15/SUM(Real!$BY$8:$CI$8)*100</f>
        <v>32.769589087668173</v>
      </c>
      <c r="BZ10" s="166">
        <f>BZ15/SUM(Real!$CA$8:$CL$8)*100</f>
        <v>33.669262237251182</v>
      </c>
      <c r="CA10" s="166"/>
      <c r="CB10" s="166">
        <f>CB15/SUM(Real!$CA$8:$CL$8)*100</f>
        <v>32.999513656072835</v>
      </c>
      <c r="CC10" s="166">
        <f>CC15/SUM(Real!$CA$8:$CL$8)*100</f>
        <v>33.732138416864252</v>
      </c>
      <c r="CD10" s="166">
        <f>CD15/SUM(Real!$CF$8:$CP$8)*100</f>
        <v>33.584147268930522</v>
      </c>
      <c r="CE10" s="166">
        <f>CE15/SUM(Real!$CF$8:$CP$8)*100</f>
        <v>33.692590242774735</v>
      </c>
      <c r="CF10" s="166">
        <f>CF15/SUM(Real!$CF$8:$CP$8)*100</f>
        <v>34.187509577796028</v>
      </c>
      <c r="CG10" s="166">
        <f>CG15/SUM(Real!$CI$8:$CS$8)*100</f>
        <v>34.034973085579736</v>
      </c>
      <c r="CH10" s="166">
        <f>CH15/SUM(Real!$CI$8:$CS$8)*100</f>
        <v>34.772513841650863</v>
      </c>
      <c r="CI10" s="166">
        <f>CI15/SUM(Real!$CI$8:$CS$8)*100</f>
        <v>35.098015943851443</v>
      </c>
      <c r="CJ10" s="166">
        <f>CJ15/SUM(Real!$CL$8:$CV$8)*100</f>
        <v>35.202138136314531</v>
      </c>
      <c r="CK10" s="166">
        <f>CK15/SUM(Real!$CL$8:$CV$8)*100</f>
        <v>35.401207001657539</v>
      </c>
      <c r="CL10" s="166">
        <f>CL15/SUM(Real!$CL$8:$CV$8)*100</f>
        <v>35.600084307910649</v>
      </c>
      <c r="CM10" s="166">
        <f>CM15/SUM(Real!$CP$8:$CY$8)*100</f>
        <v>36.297137322860145</v>
      </c>
      <c r="CO10" s="39">
        <f>CO15/SUM(Real!$CP$8:$CY$8)*100</f>
        <v>35.029327617043577</v>
      </c>
      <c r="CP10" s="39">
        <f>CP15/SUM(Real!$CP$8:$CY$8)*100</f>
        <v>35.51626715452268</v>
      </c>
      <c r="CQ10" s="39">
        <f>CQ15/SUM(Real!$CP$8:$CY$8)*100</f>
        <v>36.106486631651471</v>
      </c>
      <c r="CR10" s="39">
        <f>CR15/SUM(Real!$CS$8:$DC$8)*100</f>
        <v>36.183332218691412</v>
      </c>
      <c r="CS10" s="39">
        <f>CS15/SUM(Real!$CS$8:$DC$8)*100</f>
        <v>36.899215081842186</v>
      </c>
      <c r="CT10" s="39">
        <f>CT15/SUM(Real!$CS$8:$DC$8)*100</f>
        <v>37.166924116873304</v>
      </c>
      <c r="CU10" s="39">
        <f>CU15/SUM(Real!$CV$8:$DF$8)*100</f>
        <v>37.097114703975414</v>
      </c>
      <c r="CV10" s="39">
        <f>CV15/SUM(Real!$CV$8:$DF$8)*100</f>
        <v>37.157607644926941</v>
      </c>
      <c r="CW10" s="39">
        <f>CW15/SUM(Real!$CV$8:$DF$8)*100</f>
        <v>37.031037442066136</v>
      </c>
      <c r="CX10" s="166">
        <f>CX15/SUM(Real!$CY$8:$DI$8)*100</f>
        <v>37.024420925046257</v>
      </c>
      <c r="CY10" s="166">
        <f>CY15/SUM(Real!$CY$8:$DI$8)*100</f>
        <v>37.643988223204708</v>
      </c>
      <c r="CZ10" s="166">
        <f>CZ15/SUM(Real!$CY$8:$DI$8)*100</f>
        <v>38.17648411095135</v>
      </c>
      <c r="DB10" s="166">
        <f>DB15/SUM(Real!$DC$8:$DL$8)*100</f>
        <v>36.307708170154065</v>
      </c>
      <c r="DC10" s="166">
        <f>DC15/SUM(Real!$DC$8:$DL$8)*100</f>
        <v>35.815872608899767</v>
      </c>
      <c r="DD10" s="166">
        <f>DD15/SUM(Real!$DC$8:$DL$8)*100</f>
        <v>36.169837763880153</v>
      </c>
      <c r="DE10" s="166">
        <f>DE15/SUM(Real!$DF$8:$DP$8)*100</f>
        <v>35.916778920004234</v>
      </c>
      <c r="DF10" s="166">
        <f>DF15/SUM(Real!$DF$8:$DP$8)*100</f>
        <v>36.793827958626331</v>
      </c>
      <c r="DG10" s="166">
        <f>DG15/SUM(Real!$DF$8:$DP$8)*100</f>
        <v>36.949216709958783</v>
      </c>
      <c r="DH10" s="166">
        <f>DH15/SUM(Real!$DI$8:$DS$8)*100</f>
        <v>37.440355478126293</v>
      </c>
      <c r="DI10" s="166">
        <f>DI15/SUM(Real!$DI$8:$DS$8)*100</f>
        <v>36.837463241449825</v>
      </c>
      <c r="DJ10" s="166">
        <f>DJ15/SUM(Real!$DI$8:$DS$8)*100</f>
        <v>36.353033017330311</v>
      </c>
      <c r="DK10" s="166">
        <f>DK15/SUM(Real!$DL$8:$DV$8)*100</f>
        <v>35.991441412175348</v>
      </c>
      <c r="DL10" s="166">
        <f>DL15/SUM(Real!$DL$8:$DV$8)*100</f>
        <v>36.305116598921266</v>
      </c>
      <c r="DM10" s="166">
        <f>DM15/SUM(Real!$DL$8:$DV$8)*100</f>
        <v>37.66348360721701</v>
      </c>
      <c r="DN10" s="166"/>
      <c r="DO10" s="166">
        <f>DO15/SUM(Real!$DP$8:$DY$8)*100</f>
        <v>36.389235536018738</v>
      </c>
      <c r="DP10" s="166">
        <f>DP15/SUM(Real!$DP$8:$DY$8)*100</f>
        <v>37.279394597033097</v>
      </c>
      <c r="DQ10" s="166">
        <f>DQ15/SUM(Real!$DP$8:$DY$8)*100</f>
        <v>37.559742330620352</v>
      </c>
      <c r="DR10" s="166">
        <f>DR15/SUM(Real!$DS$8:$EC$8)*100</f>
        <v>37.339741734180656</v>
      </c>
      <c r="DS10" s="166">
        <f>DS15/SUM(Real!$DS$8:$EC$8)*100</f>
        <v>37.401402825369949</v>
      </c>
      <c r="DT10" s="166">
        <f>DT15/SUM(Real!$DS$8:$EC$8)*100</f>
        <v>38.425996254193798</v>
      </c>
      <c r="DU10" s="166">
        <f>DU15/SUM(Real!$DV$8:$EF$8)*100</f>
        <v>39.794434679506303</v>
      </c>
      <c r="DV10" s="166">
        <f>DV15/SUM(Real!$DV$8:$EF$8)*100</f>
        <v>39.502879090071765</v>
      </c>
      <c r="DW10" s="166">
        <f>DW15/SUM(Real!$DV$8:$EF$8)*100</f>
        <v>39.759864458469778</v>
      </c>
      <c r="DX10" s="166">
        <f>DX15/SUM(Real!$DY$8:$EI$8)*100</f>
        <v>40.41829523941098</v>
      </c>
      <c r="DY10" s="166">
        <f>DY15/SUM(Real!$DY$8:$EI$8)*100</f>
        <v>40.923393953426555</v>
      </c>
      <c r="DZ10" s="166">
        <f>DZ15/SUM(Real!$DY$8:$EI$8)*100</f>
        <v>42.878215292280785</v>
      </c>
      <c r="EB10" s="166">
        <f>EB15/SUM(Real!$EC$8:$EL$8)*100</f>
        <v>42.648829039089648</v>
      </c>
      <c r="EC10" s="166">
        <f>EC15/SUM(Real!$EC$8:$EL$8)*100</f>
        <v>43.497981432935639</v>
      </c>
      <c r="ED10" s="166">
        <f>ED15/SUM(Real!$EC$8:$EL$8)*100</f>
        <v>43.843809960543965</v>
      </c>
      <c r="EE10" s="166">
        <f>EE15/SUM(Real!$EF$8:$EP$8)*100</f>
        <v>43.400300816707258</v>
      </c>
      <c r="EF10" s="166">
        <f>EF15/SUM(Real!$EF$8:$EP$8)*100</f>
        <v>43.391820322476732</v>
      </c>
      <c r="EG10" s="166">
        <f>EG15/SUM(Real!$EF$8:$EP$8)*100</f>
        <v>43.881397907851323</v>
      </c>
      <c r="EH10" s="166">
        <f>EH15/SUM(Real!$EI$8:$ES$8)*100</f>
        <v>45.104495582595455</v>
      </c>
    </row>
    <row r="11" spans="1:144" s="168" customFormat="1" ht="15.75" customHeight="1">
      <c r="A11" s="183" t="s">
        <v>77</v>
      </c>
      <c r="B11" s="174">
        <f>('[2]Monetary Survey'!Z25+'[2]Monetary Survey'!Z27+'[2]Monetary Survey'!Z29)/SUM(Real!C8:N8)*100</f>
        <v>10.327024553510453</v>
      </c>
      <c r="C11" s="174">
        <f>('[2]Monetary Survey'!AA25+'[2]Monetary Survey'!AA27+'[2]Monetary Survey'!AA29)/SUM(Real!D8:O8)*100</f>
        <v>10.938027257548399</v>
      </c>
      <c r="D11" s="174">
        <f>('[2]Monetary Survey'!AB25+'[2]Monetary Survey'!AB27+'[2]Monetary Survey'!AB29)/SUM(Real!E8:P8)*100</f>
        <v>10.011996245033863</v>
      </c>
      <c r="E11" s="174">
        <f>('[2]Monetary Survey'!AC25+'[2]Monetary Survey'!AC27+'[2]Monetary Survey'!AC29)/SUM(Real!F8:Q8)*100</f>
        <v>10.469812469036308</v>
      </c>
      <c r="F11" s="174">
        <f>('[2]Monetary Survey'!AD25+'[2]Monetary Survey'!AD27+'[2]Monetary Survey'!AD29)/SUM(Real!G8:R8)*100</f>
        <v>11.051314659586854</v>
      </c>
      <c r="G11" s="174">
        <f>('[2]Monetary Survey'!AE25+'[2]Monetary Survey'!AE27+'[2]Monetary Survey'!AE29)/SUM(Real!H8:S8)*100</f>
        <v>10.027371190889848</v>
      </c>
      <c r="H11" s="174">
        <f>('[2]Monetary Survey'!AF25+'[2]Monetary Survey'!AF27+'[2]Monetary Survey'!AF29)/SUM(Real!I8:T8)*100</f>
        <v>11.443009842917519</v>
      </c>
      <c r="I11" s="174">
        <f>('[2]Monetary Survey'!AG25+'[2]Monetary Survey'!AG27+'[2]Monetary Survey'!AG29)/SUM(Real!J8:U8)*100</f>
        <v>12.957083714611336</v>
      </c>
      <c r="J11" s="174">
        <f>('[2]Monetary Survey'!AH25+'[2]Monetary Survey'!AH27+'[2]Monetary Survey'!AH29)/SUM(Real!K8:V8)*100</f>
        <v>10.453610746706834</v>
      </c>
      <c r="K11" s="174">
        <f>('[2]Monetary Survey'!AI25+'[2]Monetary Survey'!AI27+'[2]Monetary Survey'!AI29)/SUM(Real!L8:W8)*100</f>
        <v>11.805102680453061</v>
      </c>
      <c r="L11" s="174">
        <f>('[2]Monetary Survey'!AJ25+'[2]Monetary Survey'!AJ27+'[2]Monetary Survey'!AJ29)/SUM(Real!M8:X8)*100</f>
        <v>13.854649224936155</v>
      </c>
      <c r="M11" s="174">
        <f>('[2]Monetary Survey'!AK25+'[2]Monetary Survey'!AK27+'[2]Monetary Survey'!AK29)/SUM(Real!N8:Y8)*100</f>
        <v>11.600324201642191</v>
      </c>
      <c r="O11" s="174">
        <f>('[2]Monetary Survey'!AL25+'[2]Monetary Survey'!AL27+'[2]Monetary Survey'!AL29)/SUM(Real!O8:AA8)*100</f>
        <v>11.339765469328674</v>
      </c>
      <c r="P11" s="174">
        <f>('[2]Monetary Survey'!AM25+'[2]Monetary Survey'!AM27+'[2]Monetary Survey'!AM29)/SUM(Real!P8:AB8)*100</f>
        <v>11.502046519544733</v>
      </c>
      <c r="Q11" s="174">
        <f>('[2]Monetary Survey'!AN25+'[2]Monetary Survey'!AN27+'[2]Monetary Survey'!AN29)/SUM(Real!Q8:AC8)*100</f>
        <v>11.621422830145614</v>
      </c>
      <c r="R11" s="166">
        <f>('[2]Monetary Survey'!AO45)/SUM(Real!R$8:AD$8)*100</f>
        <v>11.912206029563482</v>
      </c>
      <c r="S11" s="166">
        <f>('[2]Monetary Survey'!AP45)/SUM(Real!S$8:AE$8)*100</f>
        <v>11.96183072673052</v>
      </c>
      <c r="T11" s="166">
        <f>'[2]Monetary Survey'!AQ45/SUM(Real!T$8:AF$8)*100</f>
        <v>11.729625007961104</v>
      </c>
      <c r="U11" s="166">
        <f>'[2]Monetary Survey'!AR45/SUM(Real!U$8:AG$8)*100</f>
        <v>12.187120113921081</v>
      </c>
      <c r="V11" s="166">
        <f>'[2]Monetary Survey'!AS45/SUM(Real!V$8:AH$8)*100</f>
        <v>12.379193129074975</v>
      </c>
      <c r="W11" s="166">
        <f>'[2]Monetary Survey'!AT45/SUM(Real!W$8:AI$8)*100</f>
        <v>11.773844440836054</v>
      </c>
      <c r="X11" s="166">
        <f>'[2]Monetary Survey'!AU45/SUM(Real!X$8:AJ$8)*100</f>
        <v>11.779430348595726</v>
      </c>
      <c r="Y11" s="166">
        <f>'[2]Monetary Survey'!AV45/SUM(Real!Y$8:AK$8)*100</f>
        <v>11.204719635822546</v>
      </c>
      <c r="Z11" s="166">
        <f>'[2]Monetary Survey'!AW45/SUM(Real!Z$8:AL$8)*100</f>
        <v>10.990578909243345</v>
      </c>
      <c r="AB11" s="166">
        <f>'[2]Monetary Survey'!AX45/SUM(Real!AB$8:AN$8)*100</f>
        <v>10.841528606322646</v>
      </c>
      <c r="AC11" s="166">
        <f>'[2]Monetary Survey'!AY45/SUM(Real!AC$8:AO$8)*100</f>
        <v>11.225229203549123</v>
      </c>
      <c r="AD11" s="166">
        <f>'[2]Monetary Survey'!AZ45/SUM(Real!AD$8:AP$8)*100</f>
        <v>12.079973673501852</v>
      </c>
      <c r="AE11" s="166">
        <f>'[2]Monetary Survey'!BA45/SUM(Real!AE$8:AQ$8)*100</f>
        <v>12.071504309783796</v>
      </c>
      <c r="AF11" s="166">
        <f>'[2]Monetary Survey'!BB45/SUM(Real!AF$8:AR$8)*100</f>
        <v>12.149623667946466</v>
      </c>
      <c r="AG11" s="166">
        <f>'[2]Monetary Survey'!BC45/SUM(Real!AG$8:AS$8)*100</f>
        <v>12.570313981401569</v>
      </c>
      <c r="AH11" s="166">
        <f>'[2]Monetary Survey'!BD45/SUM(Real!AH$8:AT$8)*100</f>
        <v>13.9595971562893</v>
      </c>
      <c r="AI11" s="166">
        <f>'[2]Monetary Survey'!BE45/SUM(Real!AI$8:AU$8)*100</f>
        <v>14.290139009152211</v>
      </c>
      <c r="AJ11" s="166">
        <f>'[2]Monetary Survey'!BF45/SUM(Real!AJ$8:AV$8)*100</f>
        <v>15.862446894476905</v>
      </c>
      <c r="AK11" s="166">
        <f>'[2]Monetary Survey'!BG45/SUM(Real!AK$8:AW$8)*100</f>
        <v>16.171954045728057</v>
      </c>
      <c r="AL11" s="166">
        <f>'[2]Monetary Survey'!BH45/SUM(Real!AL$8:AX$8)*100</f>
        <v>16.415704404314983</v>
      </c>
      <c r="AM11" s="166">
        <f>'[2]Monetary Survey'!BI45/SUM(Real!AM$8:AY$8)*100</f>
        <v>17.231292635391391</v>
      </c>
      <c r="AN11" s="166"/>
      <c r="AO11" s="166">
        <f>'[2]Monetary Survey'!BJ45/SUM(Real!AO$8:BA$8)*100</f>
        <v>17.066269141400493</v>
      </c>
      <c r="AP11" s="166">
        <f>'[2]Monetary Survey'!BK45/SUM(Real!AP$8:BB$8)*100</f>
        <v>17.658879740028411</v>
      </c>
      <c r="AQ11" s="166">
        <f>'[2]Monetary Survey'!BL45/SUM(Real!AQ$8:BC$8)*100</f>
        <v>18.0885208569265</v>
      </c>
      <c r="AR11" s="166">
        <f>'[2]Monetary Survey'!BM45/SUM(Real!AR$8:BD$8)*100</f>
        <v>17.420799352814878</v>
      </c>
      <c r="AS11" s="166">
        <f>'[2]Monetary Survey'!BN45/SUM(Real!AS$8:BE$8)*100</f>
        <v>16.759729318524698</v>
      </c>
      <c r="AT11" s="166">
        <f>'[2]Monetary Survey'!BO45/SUM(Real!AT$8:BF$8)*100</f>
        <v>16.222764334456766</v>
      </c>
      <c r="AU11" s="166">
        <f>'[2]Monetary Survey'!BP45/SUM(Real!AU$8:BG$8)*100</f>
        <v>16.542567066011831</v>
      </c>
      <c r="AV11" s="166">
        <f>'[2]Monetary Survey'!BQ45/SUM(Real!AV$8:BH$8)*100</f>
        <v>16.442944962469134</v>
      </c>
      <c r="AW11" s="166">
        <f>'[2]Monetary Survey'!BR45/SUM(Real!AW$8:BI$8)*100</f>
        <v>16.359402469694196</v>
      </c>
      <c r="AX11" s="166">
        <f>'[2]Monetary Survey'!BS45/SUM(Real!AX$8:BJ$8)*100</f>
        <v>16.57118763797855</v>
      </c>
      <c r="AY11" s="166">
        <f>'[2]Monetary Survey'!BT45/SUM(Real!AY$8:BK$8)*100</f>
        <v>16.983830500691589</v>
      </c>
      <c r="AZ11" s="166">
        <f>IF(Real!BL8&lt;&gt;0,'[2]Monetary Survey'!BU45/SUM(Real!AZ$8:BL$8)*100,"")</f>
        <v>17.532498321696586</v>
      </c>
      <c r="BA11" s="166"/>
      <c r="BB11" s="166">
        <f>'[2]Monetary Survey'!BV45/SUM(Real!$BD$8:$BP$8)*100</f>
        <v>17.190430880177811</v>
      </c>
      <c r="BC11" s="166">
        <f>'[2]Monetary Survey'!BW45/SUM(Real!$BD$8:$BP$8)*100</f>
        <v>17.619304056456397</v>
      </c>
      <c r="BD11" s="166">
        <f>'[2]Monetary Survey'!BX45/SUM(Real!$BD$8:$BP$8)*100</f>
        <v>18.467430036509889</v>
      </c>
      <c r="BE11" s="166">
        <f>'[2]Monetary Survey'!BY45/SUM(Real!$BG$8:$BS$8)*100</f>
        <v>17.757412288582021</v>
      </c>
      <c r="BF11" s="166">
        <f>'[2]Monetary Survey'!BZ45/SUM(Real!$BG$8:$BS$8)*100</f>
        <v>18.216056276048263</v>
      </c>
      <c r="BG11" s="166">
        <f>'[2]Monetary Survey'!CA45/SUM(Real!$BJ$8:$BV$8)*100</f>
        <v>18.189650796174821</v>
      </c>
      <c r="BH11" s="166">
        <f>'[2]Monetary Survey'!CB45/SUM(Real!$BJ$8:$BV$8)*100</f>
        <v>18.748981081440537</v>
      </c>
      <c r="BI11" s="166">
        <f>'[2]Monetary Survey'!CC45/SUM(Real!$BJ$8:$BV$8)*100</f>
        <v>18.810465549744588</v>
      </c>
      <c r="BJ11" s="166">
        <f>'[2]Monetary Survey'!CD45/SUM(Real!$BN$8:$BY$8)*100</f>
        <v>18.567944156324007</v>
      </c>
      <c r="BK11" s="166">
        <f>'[2]Monetary Survey'!CE45/SUM(Real!$BN$8:$BY$8)*100</f>
        <v>19.00512352513493</v>
      </c>
      <c r="BL11" s="166">
        <f>'[2]Monetary Survey'!CF45/SUM(Real!$BN$8:$BY$8)*100</f>
        <v>19.755129955947485</v>
      </c>
      <c r="BM11" s="215">
        <f>'[2]Monetary Survey'!CG45/SUM(Real!$BN$8:$BY$8)*100</f>
        <v>20.567489538930893</v>
      </c>
      <c r="BN11" s="215"/>
      <c r="BO11" s="166">
        <f>BO16/SUM(Real!$BN$8:$BY$8)*100</f>
        <v>20.571602769421034</v>
      </c>
      <c r="BP11" s="166">
        <f>BP16/SUM(Real!$BN$8:$BY$8)*100</f>
        <v>21.0043945923602</v>
      </c>
      <c r="BQ11" s="166">
        <f>BQ16/SUM(Real!$BS$8:$CC$8)*100</f>
        <v>21.192412760606217</v>
      </c>
      <c r="BR11" s="166">
        <f>BR16/SUM(Real!$BS$8:$CC$8)*100</f>
        <v>21.310242279544468</v>
      </c>
      <c r="BS11" s="166">
        <f>BS16/SUM(Real!$BS$8:$CC$8)*100</f>
        <v>21.927098287916113</v>
      </c>
      <c r="BT11" s="166">
        <f>BT16/SUM(Real!$BV$8:$CF$8)*100</f>
        <v>22.063551960633745</v>
      </c>
      <c r="BU11" s="166">
        <f>BU16/SUM(Real!$BV$8:$CF$8)*100</f>
        <v>22.174348013440316</v>
      </c>
      <c r="BV11" s="166">
        <f>BV16/SUM(Real!$BV$8:$CF$8)*100</f>
        <v>22.778494755264997</v>
      </c>
      <c r="BW11" s="166">
        <f>BW16/SUM(Real!$BY$8:$CI$8)*100</f>
        <v>23.063049412022981</v>
      </c>
      <c r="BX11" s="166">
        <f>BX16/SUM(Real!$BY$8:$CI$8)*100</f>
        <v>23.232560006247621</v>
      </c>
      <c r="BY11" s="166">
        <f>BY16/SUM(Real!$BY$8:$CI$8)*100</f>
        <v>23.665058228355303</v>
      </c>
      <c r="BZ11" s="166">
        <f>BZ16/SUM(Real!$CA$8:$CL$8)*100</f>
        <v>24.063168900475965</v>
      </c>
      <c r="CA11" s="166"/>
      <c r="CB11" s="166">
        <f>CB16/SUM(Real!$CA$8:$CL$8)*100</f>
        <v>24.198537106477531</v>
      </c>
      <c r="CC11" s="166">
        <f>CC16/SUM(Real!$CA$8:$CL$8)*100</f>
        <v>25.168618043456654</v>
      </c>
      <c r="CD11" s="166">
        <f>CD16/SUM(Real!$CF$8:$CP$8)*100</f>
        <v>25.096800955929705</v>
      </c>
      <c r="CE11" s="166">
        <f>CE16/SUM(Real!$CF$8:$CP$8)*100</f>
        <v>25.154345831726193</v>
      </c>
      <c r="CF11" s="166">
        <f>CF16/SUM(Real!$CF$8:$CP$8)*100</f>
        <v>25.470596200130498</v>
      </c>
      <c r="CG11" s="166">
        <f>CG16/SUM(Real!$CI$8:$CS$8)*100</f>
        <v>25.390473169516397</v>
      </c>
      <c r="CH11" s="166">
        <f>CH16/SUM(Real!$CI$8:$CS$8)*100</f>
        <v>25.802363774336897</v>
      </c>
      <c r="CI11" s="166">
        <f>CI16/SUM(Real!$CI$8:$CS$8)*100</f>
        <v>26.271481504235712</v>
      </c>
      <c r="CJ11" s="166">
        <f>CJ16/SUM(Real!$CL$8:$CV$8)*100</f>
        <v>26.634430674017079</v>
      </c>
      <c r="CK11" s="166">
        <f>CK16/SUM(Real!$CL$8:$CV$8)*100</f>
        <v>26.73594346400726</v>
      </c>
      <c r="CL11" s="166">
        <f>CL16/SUM(Real!$CL$8:$CV$8)*100</f>
        <v>27.105480392166225</v>
      </c>
      <c r="CM11" s="166">
        <f>CM16/SUM(Real!$CP$8:$CY$8)*100</f>
        <v>27.296366042464971</v>
      </c>
      <c r="CO11" s="39">
        <f>CO16/SUM(Real!$CP$8:$CY$8)*100</f>
        <v>27.103181340380107</v>
      </c>
      <c r="CP11" s="39">
        <f>CP16/SUM(Real!$CP$8:$CY$8)*100</f>
        <v>27.763975138576935</v>
      </c>
      <c r="CQ11" s="39">
        <f>CQ16/SUM(Real!$CP$8:$CY$8)*100</f>
        <v>28.408920773590406</v>
      </c>
      <c r="CR11" s="39">
        <f>CR16/SUM(Real!$CS$8:$DC$8)*100</f>
        <v>28.383423978643318</v>
      </c>
      <c r="CS11" s="39">
        <f>CS16/SUM(Real!$CS$8:$DC$8)*100</f>
        <v>28.938607321946787</v>
      </c>
      <c r="CT11" s="39">
        <f>CT16/SUM(Real!$CS$8:$DC$8)*100</f>
        <v>29.072252043395601</v>
      </c>
      <c r="CU11" s="39">
        <f>CU16/SUM(Real!$CV$8:$DF$8)*100</f>
        <v>28.853916095932735</v>
      </c>
      <c r="CV11" s="39">
        <f>CV16/SUM(Real!$CV$8:$DF$8)*100</f>
        <v>28.74851766932014</v>
      </c>
      <c r="CW11" s="39">
        <f>CW16/SUM(Real!$CV$8:$DF$8)*100</f>
        <v>28.728043827515997</v>
      </c>
      <c r="CX11" s="166">
        <f>CX16/SUM(Real!$CY$8:$DI$8)*100</f>
        <v>28.764474170327265</v>
      </c>
      <c r="CY11" s="166">
        <f>CY16/SUM(Real!$CY$8:$DI$8)*100</f>
        <v>29.789758840244563</v>
      </c>
      <c r="CZ11" s="166">
        <f>CZ16/SUM(Real!$CY$8:$DI$8)*100</f>
        <v>30.286814609962793</v>
      </c>
      <c r="DB11" s="166">
        <f>DB16/SUM(Real!$DC$8:$DL$8)*100</f>
        <v>29.517102054873423</v>
      </c>
      <c r="DC11" s="166">
        <f>DC16/SUM(Real!$DC$8:$DL$8)*100</f>
        <v>29.129993086188037</v>
      </c>
      <c r="DD11" s="166">
        <f>DD16/SUM(Real!$DC$8:$DL$8)*100</f>
        <v>29.595236580921423</v>
      </c>
      <c r="DE11" s="166">
        <f>DE16/SUM(Real!$DF$8:$DP$8)*100</f>
        <v>29.318328761663036</v>
      </c>
      <c r="DF11" s="166">
        <f>DF16/SUM(Real!$DF$8:$DP$8)*100</f>
        <v>30.054496860045198</v>
      </c>
      <c r="DG11" s="166">
        <f>DG16/SUM(Real!$DF$8:$DP$8)*100</f>
        <v>29.96337192521019</v>
      </c>
      <c r="DH11" s="166">
        <f>DH16/SUM(Real!$DI$8:$DS$8)*100</f>
        <v>30.239395680606656</v>
      </c>
      <c r="DI11" s="166">
        <f>DI16/SUM(Real!$DI$8:$DS$8)*100</f>
        <v>29.989791979015518</v>
      </c>
      <c r="DJ11" s="166">
        <f>DJ16/SUM(Real!$DI$8:$DS$8)*100</f>
        <v>29.626370088734461</v>
      </c>
      <c r="DK11" s="166">
        <f>DK16/SUM(Real!$DL$8:$DV$8)*100</f>
        <v>29.440171004077371</v>
      </c>
      <c r="DL11" s="166">
        <f>DL16/SUM(Real!$DL$8:$DV$8)*100</f>
        <v>29.737037943463147</v>
      </c>
      <c r="DM11" s="166">
        <f>DM16/SUM(Real!$DL$8:$DV$8)*100</f>
        <v>30.675515532779706</v>
      </c>
      <c r="DN11" s="166"/>
      <c r="DO11" s="166">
        <f>DO16/SUM(Real!$DP$8:$DY$8)*100</f>
        <v>30.265548621075467</v>
      </c>
      <c r="DP11" s="166">
        <f>DP16/SUM(Real!$DP$8:$DY$8)*100</f>
        <v>31.347758999834792</v>
      </c>
      <c r="DQ11" s="166">
        <f>DQ16/SUM(Real!$DP$8:$DY$8)*100</f>
        <v>31.630583582599396</v>
      </c>
      <c r="DR11" s="166">
        <f>DR16/SUM(Real!$DS$8:$EC$8)*100</f>
        <v>31.173530322416116</v>
      </c>
      <c r="DS11" s="166">
        <f>DS16/SUM(Real!$DS$8:$EC$8)*100</f>
        <v>31.105861115566835</v>
      </c>
      <c r="DT11" s="166">
        <f>DT16/SUM(Real!$DS$8:$EC$8)*100</f>
        <v>31.822505498155596</v>
      </c>
      <c r="DU11" s="166">
        <f>DU16/SUM(Real!$DV$8:$EF$8)*100</f>
        <v>32.916428509554017</v>
      </c>
      <c r="DV11" s="166">
        <f>DV16/SUM(Real!$DV$8:$EF$8)*100</f>
        <v>32.562104182815446</v>
      </c>
      <c r="DW11" s="166">
        <f>DW16/SUM(Real!$DV$8:$EF$8)*100</f>
        <v>32.755131981122773</v>
      </c>
      <c r="DX11" s="166">
        <f>DX16/SUM(Real!$DY$8:$EI$8)*100</f>
        <v>33.382585626200736</v>
      </c>
      <c r="DY11" s="166">
        <f>DY16/SUM(Real!$DY$8:$EI$8)*100</f>
        <v>33.988928289711041</v>
      </c>
      <c r="DZ11" s="166">
        <f>DZ16/SUM(Real!$DY$8:$EI$8)*100</f>
        <v>35.189622136058389</v>
      </c>
      <c r="EB11" s="166">
        <f>EB16/SUM(Real!$EC$8:$EL$8)*100</f>
        <v>35.477064505895989</v>
      </c>
      <c r="EC11" s="166">
        <f>EC16/SUM(Real!$EC$8:$EL$8)*100</f>
        <v>36.382887317358609</v>
      </c>
      <c r="ED11" s="166">
        <f>ED16/SUM(Real!$EC$8:$EL$8)*100</f>
        <v>36.368289992828544</v>
      </c>
      <c r="EE11" s="166">
        <f>EE16/SUM(Real!$EF$8:$EP$8)*100</f>
        <v>36.151430246581825</v>
      </c>
      <c r="EF11" s="166">
        <f>EF16/SUM(Real!$EF$8:$EP$8)*100</f>
        <v>36.058542107623474</v>
      </c>
      <c r="EG11" s="166">
        <f>EG16/SUM(Real!$EF$8:$EP$8)*100</f>
        <v>36.341402666526427</v>
      </c>
      <c r="EH11" s="166">
        <f>EH16/SUM(Real!$EI$8:$ES$8)*100</f>
        <v>37.282416251272146</v>
      </c>
    </row>
    <row r="12" spans="1:144">
      <c r="A12" s="131" t="s">
        <v>78</v>
      </c>
      <c r="B12" s="39">
        <f>B17/SUM(Real!C8:N8)*100</f>
        <v>9.5417306585947728</v>
      </c>
      <c r="C12" s="39">
        <f>C17/SUM(Real!D8:O8)*100</f>
        <v>10.251813343367553</v>
      </c>
      <c r="D12" s="39">
        <f>D17/SUM(Real!E8:P8)*100</f>
        <v>9.711566182508049</v>
      </c>
      <c r="E12" s="39">
        <f>E17/SUM(Real!F8:Q8)*100</f>
        <v>10.776507550682309</v>
      </c>
      <c r="F12" s="39">
        <f>F17/SUM(Real!G8:R8)*100</f>
        <v>11.775851667585579</v>
      </c>
      <c r="G12" s="39">
        <f>G17/SUM(Real!H8:S8)*100</f>
        <v>10.382950220836882</v>
      </c>
      <c r="H12" s="39">
        <f>H17/SUM(Real!I8:T8)*100</f>
        <v>12.203959459569697</v>
      </c>
      <c r="I12" s="39">
        <f>I17/SUM(Real!J8:U8)*100</f>
        <v>14.58798840342952</v>
      </c>
      <c r="J12" s="39">
        <f>J17/SUM(Real!K8:V8)*100</f>
        <v>12.026072514290069</v>
      </c>
      <c r="K12" s="39">
        <f>K17/SUM(Real!L8:W8)*100</f>
        <v>14.067933656024097</v>
      </c>
      <c r="L12" s="39">
        <f>L17/SUM(Real!M8:X8)*100</f>
        <v>16.120056809409473</v>
      </c>
      <c r="M12" s="39">
        <f>M17/SUM(Real!N8:Y8)*100</f>
        <v>13.531649771500401</v>
      </c>
      <c r="N12" s="39"/>
      <c r="O12" s="39">
        <f>O17/SUM(Real!O8:AA8)*100</f>
        <v>13.57797777107008</v>
      </c>
      <c r="P12" s="39">
        <f>P17/SUM(Real!P8:AB8)*100</f>
        <v>14.525367897979585</v>
      </c>
      <c r="Q12" s="39">
        <f>Q17/SUM(Real!Q8:AC8)*100</f>
        <v>14.865345505848481</v>
      </c>
      <c r="R12" s="39">
        <f>R17/SUM(Real!R8:AD8)*100</f>
        <v>15.50525710261118</v>
      </c>
      <c r="S12" s="39">
        <f>S17/SUM(Real!S8:AE8)*100</f>
        <v>16.165092393759906</v>
      </c>
      <c r="T12" s="39">
        <f>T17/SUM(Real!T8:AF8)*100</f>
        <v>16.35515457902526</v>
      </c>
      <c r="U12" s="39">
        <f>U17/SUM(Real!U8:AG8)*100</f>
        <v>16.981384911231583</v>
      </c>
      <c r="V12" s="39">
        <f>V17/SUM(Real!V8:AH8)*100</f>
        <v>17.821044897159176</v>
      </c>
      <c r="W12" s="39">
        <f>W17/SUM(Real!W8:AI8)*100</f>
        <v>17.246744568549445</v>
      </c>
      <c r="X12" s="39">
        <f>X17/SUM(Real!X8:AJ8)*100</f>
        <v>17.73905633858454</v>
      </c>
      <c r="Y12" s="39">
        <f>Y17/SUM(Real!Y8:AK8)*100</f>
        <v>17.818848369473326</v>
      </c>
      <c r="Z12" s="39">
        <f>Z17/SUM(Real!AA8:AL8)*100</f>
        <v>17.781801698972341</v>
      </c>
      <c r="AB12" s="39">
        <f>AB17/SUM(Real!AB8:AN8)*100</f>
        <v>17.333292360610631</v>
      </c>
      <c r="AC12" s="39">
        <f>AC17/SUM(Real!AC8:AO8)*100</f>
        <v>17.153796999944735</v>
      </c>
      <c r="AD12" s="39">
        <f>AD17/SUM(Real!AD8:AP8)*100</f>
        <v>18.44133265214279</v>
      </c>
      <c r="AE12" s="39">
        <f>AE17/SUM(Real!AE8:AQ8)*100</f>
        <v>18.17975829858953</v>
      </c>
      <c r="AF12" s="39">
        <f>AF17/SUM(Real!AF8:AR8)*100</f>
        <v>17.862045994211421</v>
      </c>
      <c r="AG12" s="39">
        <f>AG17/SUM(Real!AG8:AS8)*100</f>
        <v>18.299613863247234</v>
      </c>
      <c r="AH12" s="39">
        <f>AH17/SUM(Real!AH8:AT8)*100</f>
        <v>18.944375374621284</v>
      </c>
      <c r="AI12" s="39">
        <f>AI17/SUM(Real!AI8:AU8)*100</f>
        <v>19.283715360716926</v>
      </c>
      <c r="AJ12" s="39">
        <f>AJ17/SUM(Real!AJ8:AV8)*100</f>
        <v>21.722871039926474</v>
      </c>
      <c r="AK12" s="39">
        <f>AK17/SUM(Real!AK8:AW8)*100</f>
        <v>22.191998137575936</v>
      </c>
      <c r="AL12" s="39">
        <f>AL17/SUM(Real!AL8:AX8)*100</f>
        <v>22.407359158930102</v>
      </c>
      <c r="AM12" s="39">
        <f>AM17/SUM(Real!AM8:AY8)*100</f>
        <v>23.401705950151687</v>
      </c>
      <c r="AN12" s="39"/>
      <c r="AO12" s="39">
        <f>AO17/SUM(Real!AO8:BA8)*100</f>
        <v>23.08406468446049</v>
      </c>
      <c r="AP12" s="39">
        <f>AP17/SUM(Real!AP8:BB8)*100</f>
        <v>23.65511270984587</v>
      </c>
      <c r="AQ12" s="39">
        <f>AQ17/SUM(Real!AQ8:BC8)*100</f>
        <v>24.433094021840546</v>
      </c>
      <c r="AR12" s="39">
        <f>AR17/SUM(Real!AR8:BD8)*100</f>
        <v>24.06614010891548</v>
      </c>
      <c r="AS12" s="39">
        <f>AS17/SUM(Real!AS8:BE8)*100</f>
        <v>24.430525116868012</v>
      </c>
      <c r="AT12" s="39">
        <f>AT17/SUM(Real!AT8:BF8)*100</f>
        <v>24.410906964965836</v>
      </c>
      <c r="AU12" s="39">
        <f>AU17/SUM(Real!AU8:BG8)*100</f>
        <v>24.86786898621612</v>
      </c>
      <c r="AV12" s="39">
        <f>AV17/SUM(Real!AV8:BH8)*100</f>
        <v>25.429984402101198</v>
      </c>
      <c r="AW12" s="39">
        <f>AW17/SUM(Real!AW8:BI8)*100</f>
        <v>25.68041097603377</v>
      </c>
      <c r="AX12" s="39">
        <f>AX17/SUM(Real!AX8:BJ8)*100</f>
        <v>26.487934299546666</v>
      </c>
      <c r="AY12" s="39">
        <f>AY17/SUM(Real!AY8:BK8)*100</f>
        <v>27.330274373275863</v>
      </c>
      <c r="AZ12" s="39">
        <f>IF(Real!BL8&lt;&gt;0,AZ17/SUM(Real!AZ8:BL8)*100,"")</f>
        <v>27.448463611683788</v>
      </c>
      <c r="BA12" s="39"/>
      <c r="BB12" s="39">
        <f>BB17/SUM(Real!$BD$8:$BP$8)*100</f>
        <v>27.233833775163653</v>
      </c>
      <c r="BC12" s="39">
        <f>BC17/SUM(Real!$BD$8:$BP$8)*100</f>
        <v>28.237277222819955</v>
      </c>
      <c r="BD12" s="39">
        <f>BD17/SUM(Real!$BD$8:$BP$8)*100</f>
        <v>29.458780868054706</v>
      </c>
      <c r="BE12" s="39">
        <f>BE17/SUM(Real!$BG$8:$BS$8)*100</f>
        <v>29.580469724488733</v>
      </c>
      <c r="BF12" s="39">
        <f>BF17/SUM(Real!$BG$8:$BS$8)*100</f>
        <v>30.779620050691992</v>
      </c>
      <c r="BG12" s="39">
        <f>BG17/SUM(Real!$BJ$8:$BV$8)*100</f>
        <v>30.308922953849333</v>
      </c>
      <c r="BH12" s="39">
        <f>BH17/SUM(Real!$BJ$8:$BV$8)*100</f>
        <v>30.316749978063168</v>
      </c>
      <c r="BI12" s="39">
        <f>BI17/SUM(Real!$BJ$8:$BV$8)*100</f>
        <v>30.914817523865278</v>
      </c>
      <c r="BJ12" s="39">
        <f>BJ17/SUM(Real!$BN$8:$BY$8)*100</f>
        <v>31.214324446598702</v>
      </c>
      <c r="BK12" s="39">
        <f>BK17/SUM(Real!$BN$8:$BY$8)*100</f>
        <v>32.087825351429089</v>
      </c>
      <c r="BL12" s="39">
        <f>BL17/SUM(Real!$BN$8:$BY$8)*100</f>
        <v>32.720174769059668</v>
      </c>
      <c r="BM12" s="142">
        <f>BM17/SUM(Real!$BN$8:$BY$8)*100</f>
        <v>33.584108860646381</v>
      </c>
      <c r="BN12" s="142"/>
      <c r="BO12" s="39">
        <f>BO17/SUM(Real!$BN$8:$BY$8)*100</f>
        <v>34.068444194662881</v>
      </c>
      <c r="BP12" s="39">
        <f>BP17/SUM(Real!$BN$8:$BY$8)*100</f>
        <v>34.977107277747393</v>
      </c>
      <c r="BQ12" s="39">
        <f>BQ17/SUM(Real!$BS$8:$CC$8)*100</f>
        <v>35.399267139780157</v>
      </c>
      <c r="BR12" s="39">
        <f>BR17/SUM(Real!$BS$8:$CC$8)*100</f>
        <v>36.472847701343852</v>
      </c>
      <c r="BS12" s="39">
        <f>BS17/SUM(Real!$BS$8:$CC$8)*100</f>
        <v>37.800253337690783</v>
      </c>
      <c r="BT12" s="39">
        <f>BT17/SUM(Real!$BV$8:$CF$8)*100</f>
        <v>38.362618802619565</v>
      </c>
      <c r="BU12" s="39">
        <f>BU17/SUM(Real!$BV$8:$CF$8)*100</f>
        <v>38.111453409753167</v>
      </c>
      <c r="BV12" s="39">
        <f>BV17/SUM(Real!$BV$8:$CF$8)*100</f>
        <v>38.66604769799951</v>
      </c>
      <c r="BW12" s="39">
        <f>BW17/SUM(Real!$BY$8:$CI$8)*100</f>
        <v>38.485004951933234</v>
      </c>
      <c r="BX12" s="39">
        <f>BX17/SUM(Real!$BY$8:$CI$8)*100</f>
        <v>38.622521490767866</v>
      </c>
      <c r="BY12" s="39">
        <f>BY17/SUM(Real!$BY$8:$CI$8)*100</f>
        <v>39.58345220693937</v>
      </c>
      <c r="BZ12" s="39">
        <f>BZ17/SUM(Real!$CA$8:$CL$8)*100</f>
        <v>40.134744047652589</v>
      </c>
      <c r="CA12" s="39"/>
      <c r="CB12" s="39">
        <f>CB17/SUM(Real!$CA$8:$CL$8)*100</f>
        <v>40.551705521659194</v>
      </c>
      <c r="CC12" s="39">
        <f>CC17/SUM(Real!$CA$8:$CL$8)*100</f>
        <v>41.456238899787543</v>
      </c>
      <c r="CD12" s="39">
        <f>CD17/SUM(Real!$CF$8:$CP$8)*100</f>
        <v>40.815864812815519</v>
      </c>
      <c r="CE12" s="39">
        <f>CE17/SUM(Real!$CF$8:$CP$8)*100</f>
        <v>41.479134327628159</v>
      </c>
      <c r="CF12" s="39">
        <f>CF17/SUM(Real!$CF$8:$CP$8)*100</f>
        <v>41.772082409180086</v>
      </c>
      <c r="CG12" s="39">
        <f>CG17/SUM(Real!$CI$8:$CS$8)*100</f>
        <v>41.41657605996248</v>
      </c>
      <c r="CH12" s="39">
        <f>CH17/SUM(Real!$CI$8:$CS$8)*100</f>
        <v>41.803823700999033</v>
      </c>
      <c r="CI12" s="39">
        <f>CI17/SUM(Real!$CI$8:$CS$8)*100</f>
        <v>41.677665130742575</v>
      </c>
      <c r="CJ12" s="39">
        <f>CJ17/SUM(Real!$CL$8:$CV$8)*100</f>
        <v>41.210521762456132</v>
      </c>
      <c r="CK12" s="39">
        <f>CK17/SUM(Real!$CL$8:$CV$8)*100</f>
        <v>41.282145085754799</v>
      </c>
      <c r="CL12" s="39">
        <f>CL17/SUM(Real!$CL$8:$CV$8)*100</f>
        <v>41.97586043372862</v>
      </c>
      <c r="CM12" s="39">
        <f>CM17/SUM(Real!$CP$8:$CY$8)*100</f>
        <v>42.052625779655571</v>
      </c>
      <c r="CO12" s="39">
        <f>CO17/SUM(Real!$CP$8:$CY$8)*100</f>
        <v>41.684563018111227</v>
      </c>
      <c r="CP12" s="39">
        <f>CP17/SUM(Real!$CP$8:$CY$8)*100</f>
        <v>42.316963962215546</v>
      </c>
      <c r="CQ12" s="39">
        <f>CQ17/SUM(Real!$CP$8:$CY$8)*100</f>
        <v>42.877566370749669</v>
      </c>
      <c r="CR12" s="39">
        <f>CR17/SUM(Real!$CS$8:$DC$8)*100</f>
        <v>43.375503621288374</v>
      </c>
      <c r="CS12" s="39">
        <f>CS17/SUM(Real!$CS$8:$DC$8)*100</f>
        <v>43.503055365408031</v>
      </c>
      <c r="CT12" s="39">
        <f>CT17/SUM(Real!$CS$8:$DC$8)*100</f>
        <v>43.783904104205575</v>
      </c>
      <c r="CU12" s="39">
        <f>CU17/SUM(Real!$CV$8:$DF$8)*100</f>
        <v>43.241537982054723</v>
      </c>
      <c r="CV12" s="39">
        <f>CV17/SUM(Real!$CV$8:$DF$8)*100</f>
        <v>43.816557397393595</v>
      </c>
      <c r="CW12" s="39">
        <f>CW17/SUM(Real!$CV$8:$DF$8)*100</f>
        <v>44.377176179773947</v>
      </c>
      <c r="CX12" s="166">
        <f>CX17/SUM(Real!$CY$8:$DI$8)*100</f>
        <v>44.209652373183715</v>
      </c>
      <c r="CY12" s="166">
        <f>CY17/SUM(Real!$CY$8:$DI$8)*100</f>
        <v>46.31033000715135</v>
      </c>
      <c r="CZ12" s="166">
        <f>CZ17/SUM(Real!$CY$8:$DI$8)*100</f>
        <v>49.440540585088804</v>
      </c>
      <c r="DB12" s="166">
        <f>DC17/SUM(Real!$DC$8:$DL$8)*100</f>
        <v>46.807228406858655</v>
      </c>
      <c r="DC12" s="166">
        <f>DD17/SUM(Real!$DC$8:$DL$8)*100</f>
        <v>46.220593366671054</v>
      </c>
      <c r="DD12" s="166">
        <f>DE17/SUM(Real!$DC$8:$DL$8)*100</f>
        <v>46.623249129275877</v>
      </c>
      <c r="DE12" s="166">
        <f>DF17/SUM(Real!$DF$8:$DP$8)*100</f>
        <v>44.8259760645117</v>
      </c>
      <c r="DF12" s="166">
        <f>DG17/SUM(Real!$DF$8:$DP$8)*100</f>
        <v>44.622202093667894</v>
      </c>
      <c r="DG12" s="166">
        <f>DH17/SUM(Real!$DF$8:$DP$8)*100</f>
        <v>44.748223354074781</v>
      </c>
      <c r="DH12" s="166">
        <f>DI17/SUM(Real!$DI$8:$DS$8)*100</f>
        <v>43.394489391789278</v>
      </c>
      <c r="DI12" s="166">
        <f>DJ17/SUM(Real!$DI$8:$DS$8)*100</f>
        <v>42.902807790357208</v>
      </c>
      <c r="DJ12" s="166">
        <f>DK17/SUM(Real!$DI$8:$DS$8)*100</f>
        <v>42.983972878645893</v>
      </c>
      <c r="DK12" s="166">
        <f>DL17/SUM(Real!$DL$8:$DV$8)*100</f>
        <v>42.311904559574899</v>
      </c>
      <c r="DL12" s="166">
        <f>DM17/SUM(Real!$DL$8:$DV$8)*100</f>
        <v>42.694441883950226</v>
      </c>
      <c r="DM12" s="166">
        <f>DO17/SUM(Real!$DL$8:$DV$8)*100</f>
        <v>42.653223659532955</v>
      </c>
      <c r="DN12" s="166"/>
      <c r="DO12" s="166">
        <f>DQ17/SUM(Real!$DP$8:$DY$8)*100</f>
        <v>43.045414411894342</v>
      </c>
      <c r="DP12" s="166">
        <f>DR17/SUM(Real!$DP$8:$DY$8)*100</f>
        <v>43.315527724415048</v>
      </c>
      <c r="DQ12" s="166">
        <f>DS17/SUM(Real!$DP$8:$DY$8)*100</f>
        <v>43.296578854582464</v>
      </c>
      <c r="DR12" s="166">
        <f>DR17/SUM(Real!$DS$8:$EC$8)*100</f>
        <v>43.126735039015315</v>
      </c>
      <c r="DS12" s="166">
        <f>DS17/SUM(Real!$DS$8:$EC$8)*100</f>
        <v>43.107868758688355</v>
      </c>
      <c r="DT12" s="166">
        <f>DT17/SUM(Real!$DS$8:$EC$8)*100</f>
        <v>43.649201503913552</v>
      </c>
      <c r="DU12" s="166">
        <f>DU17/SUM(Real!$DV$8:$EF$8)*100</f>
        <v>43.30413835245421</v>
      </c>
      <c r="DV12" s="166">
        <f>DV17/SUM(Real!$DV$8:$EF$8)*100</f>
        <v>43.49429827470923</v>
      </c>
      <c r="DW12" s="166">
        <f>DW17/SUM(Real!$DV$8:$EF$8)*100</f>
        <v>43.524524593204575</v>
      </c>
      <c r="DX12" s="166">
        <f>DX17/SUM(Real!$DY$8:$EI$8)*100</f>
        <v>44.326455533531309</v>
      </c>
      <c r="DY12" s="166">
        <f>DY17/SUM(Real!$DY$8:$EI$8)*100</f>
        <v>45.629738093297121</v>
      </c>
      <c r="DZ12" s="166">
        <f>DZ17/SUM(Real!$DY$8:$EI$8)*100</f>
        <v>47.912905973021736</v>
      </c>
      <c r="EA12" s="168"/>
      <c r="EB12" s="166">
        <f>EB17/SUM(Real!$EC$8:$EL$8)*100</f>
        <v>47.454865465048201</v>
      </c>
      <c r="EC12" s="166">
        <f>EC17/SUM(Real!$EC$8:$EL$8)*100</f>
        <v>47.784679577419162</v>
      </c>
      <c r="ED12" s="166">
        <f>ED17/SUM(Real!$EC$8:$EL$8)*100</f>
        <v>48.325651068877043</v>
      </c>
      <c r="EE12" s="166">
        <f>EE17/SUM(Real!$EF$8:$EP$8)*100</f>
        <v>48.127871324312679</v>
      </c>
      <c r="EF12" s="166">
        <f>EF17/SUM(Real!$EF$8:$EP$8)*100</f>
        <v>48.251542704770792</v>
      </c>
      <c r="EG12" s="166">
        <f>EG17/SUM(Real!$EF$8:$EP$8)*100</f>
        <v>48.445294670227121</v>
      </c>
      <c r="EH12" s="166">
        <f>EH17/SUM(Real!$EI$8:$ES$8)*100</f>
        <v>48.090602968123882</v>
      </c>
    </row>
    <row r="13" spans="1:144" s="168" customFormat="1" ht="12.75" customHeight="1">
      <c r="A13" s="183" t="s">
        <v>79</v>
      </c>
      <c r="B13" s="166">
        <f>B18/SUM(Real!C8:N8)/10</f>
        <v>20.04555419276058</v>
      </c>
      <c r="C13" s="166">
        <f>C18/SUM(Real!D8:O8)/10</f>
        <v>21.289262316817197</v>
      </c>
      <c r="D13" s="166">
        <f>D18/SUM(Real!E8:P8)/10</f>
        <v>19.629890874042133</v>
      </c>
      <c r="E13" s="166">
        <f>E18/SUM(Real!F8:Q8)/10</f>
        <v>20.828144871146378</v>
      </c>
      <c r="F13" s="166">
        <f>F18/SUM(Real!G8:R8)/10</f>
        <v>22.375620000414848</v>
      </c>
      <c r="G13" s="166">
        <f>G18/SUM(Real!H8:S8)/10</f>
        <v>19.862009823930059</v>
      </c>
      <c r="H13" s="166">
        <f>H18/SUM(Real!I8:T8)/10</f>
        <v>22.872078380381765</v>
      </c>
      <c r="I13" s="166">
        <f>I18/SUM(Real!J8:U8)/10</f>
        <v>26.119792105394822</v>
      </c>
      <c r="J13" s="166">
        <f>J18/SUM(Real!K8:V8)/10</f>
        <v>22.364171884410048</v>
      </c>
      <c r="K13" s="166">
        <f>K18/SUM(Real!L8:W8)/10</f>
        <v>25.33435015303629</v>
      </c>
      <c r="L13" s="166">
        <f>L18/SUM(Real!M8:X8)/10</f>
        <v>29.502710557089017</v>
      </c>
      <c r="M13" s="166">
        <f>M18/SUM(Real!N8:Y8)/10</f>
        <v>25.117112908342897</v>
      </c>
      <c r="O13" s="166">
        <f>O18/SUM(Real!O8:AA8)/10</f>
        <v>24.676450680812021</v>
      </c>
      <c r="P13" s="166">
        <f>P18/SUM(Real!P8:AB8)/10</f>
        <v>25.311512104626722</v>
      </c>
      <c r="Q13" s="166">
        <f>Q18/SUM(Real!Q8:AC8)/10</f>
        <v>25.763843276148616</v>
      </c>
      <c r="R13" s="166">
        <f>R18/SUM(Real!R8:AD8)/10</f>
        <v>26.2778702287982</v>
      </c>
      <c r="S13" s="166">
        <f>S18/SUM(Real!S8:AE8)/10</f>
        <v>26.610116487667817</v>
      </c>
      <c r="T13" s="166">
        <f>T18/SUM(Real!T8:AF8)/10</f>
        <v>27.692044441776765</v>
      </c>
      <c r="U13" s="166">
        <f>U18/SUM(Real!U8:AG8)/10</f>
        <v>27.92779535131357</v>
      </c>
      <c r="V13" s="166">
        <f>V18/SUM(Real!V8:AH8)/10</f>
        <v>28.551192302803305</v>
      </c>
      <c r="W13" s="166">
        <f>W18/SUM(Real!W8:AI8)/10</f>
        <v>27.589980192160375</v>
      </c>
      <c r="X13" s="166">
        <f>X18/SUM(Real!X8:AJ8)/10</f>
        <v>28.217654223819089</v>
      </c>
      <c r="Y13" s="166">
        <f>Y18/SUM(Real!Y8:AK8)/10</f>
        <v>28.092906471607968</v>
      </c>
      <c r="Z13" s="166">
        <f>Z18/SUM(Real!AA8:AL8)/10</f>
        <v>29.210529731903868</v>
      </c>
      <c r="AB13" s="166">
        <f>AB18/SUM(Real!AC8:AQ8)/10</f>
        <v>25.145709058153066</v>
      </c>
      <c r="AC13" s="166">
        <f>AC18/SUM(Real!AD8:AQ8)/10</f>
        <v>30.013888832980019</v>
      </c>
      <c r="AD13" s="166">
        <f>AD18/SUM(Real!AE8:AQ8)/10</f>
        <v>32.326068580131242</v>
      </c>
      <c r="AE13" s="166">
        <f>AE18/SUM(Real!AF8:AQ8)/10</f>
        <v>31.651195686171064</v>
      </c>
      <c r="AF13" s="166">
        <f>AF18/SUM(Real!AG8:AR8)/10</f>
        <v>40.817991936559025</v>
      </c>
      <c r="AG13" s="166">
        <f>AG18/SUM(Real!AH8:AS8)/10</f>
        <v>33.704820170406251</v>
      </c>
      <c r="AH13" s="166">
        <f>AH18/SUM(Real!AI8:AT8)/10</f>
        <v>35.259066615490681</v>
      </c>
      <c r="AI13" s="166">
        <f>AI18/SUM(Real!AJ8:AU8)/10</f>
        <v>57.339955375582711</v>
      </c>
      <c r="AJ13" s="166">
        <f>AJ18/SUM(Real!AK8:AV8)/10</f>
        <v>41.192529417345241</v>
      </c>
      <c r="AK13" s="166">
        <f>AK18/SUM(Real!AL8:AW8)/10</f>
        <v>41.343256667089285</v>
      </c>
      <c r="AL13" s="166">
        <f>AL18/SUM(Real!AM8:AX8)/10</f>
        <v>62.826642189075145</v>
      </c>
      <c r="AM13" s="166">
        <f>AM18/SUM(Real!AN8:AY8)/10</f>
        <v>44.27579349202059</v>
      </c>
      <c r="AN13" s="166"/>
      <c r="AO13" s="166">
        <f>AO18/SUM(Real!AO8:BA8)/10</f>
        <v>43.609171165097578</v>
      </c>
      <c r="AP13" s="166">
        <f>AP18/SUM(Real!AP8:BB8)/10</f>
        <v>44.378501781388188</v>
      </c>
      <c r="AQ13" s="166">
        <f>AQ18/SUM(Real!AQ8:BC8)/10</f>
        <v>45.395967039100348</v>
      </c>
      <c r="AR13" s="166">
        <f>AR18/SUM(Real!AR8:BD8)/10</f>
        <v>44.05401689232167</v>
      </c>
      <c r="AS13" s="166">
        <f>AS18/SUM(Real!AS8:BE8)/10</f>
        <v>43.828662314612636</v>
      </c>
      <c r="AT13" s="166">
        <f>AT18/SUM(Real!AT8:BF8)/10</f>
        <v>42.90916797592444</v>
      </c>
      <c r="AU13" s="166">
        <f>AU18/SUM(Real!AU8:BG8)/10</f>
        <v>43.847753463561077</v>
      </c>
      <c r="AV13" s="166">
        <f>AV18/SUM(Real!AV8:BH8)/10</f>
        <v>45.328486425606187</v>
      </c>
      <c r="AW13" s="166">
        <f>AW18/SUM(Real!AW8:BI8)/10</f>
        <v>44.920504725263086</v>
      </c>
      <c r="AX13" s="166">
        <f>AX18/SUM(Real!AX8:BJ8)/10</f>
        <v>45.720379205288467</v>
      </c>
      <c r="AY13" s="166">
        <f>AY18/SUM(Real!AY8:BK8)/10</f>
        <v>47.088566256420386</v>
      </c>
      <c r="AZ13" s="166">
        <f>IF(Real!BL8&lt;&gt;0,AZ18/SUM(Real!AZ8:BL8)/10,"")</f>
        <v>47.280591220855356</v>
      </c>
      <c r="BA13" s="166"/>
      <c r="BB13" s="166">
        <f>BB18/SUM(Real!$BD$8:$BP$8)/10</f>
        <v>46.03063428042789</v>
      </c>
      <c r="BC13" s="166">
        <f>BC18/SUM(Real!$BD$8:$BP$8)/10</f>
        <v>47.321521508169077</v>
      </c>
      <c r="BD13" s="166">
        <f>BD18/SUM(Real!$BD$8:$BP$8)/10</f>
        <v>49.147675672831994</v>
      </c>
      <c r="BE13" s="166">
        <f>BE18/SUM(Real!$BG$8:$BS$8)/10</f>
        <v>48.690621855862204</v>
      </c>
      <c r="BF13" s="166">
        <f>BF18/SUM(Real!$BG$8:$BS$8)/10</f>
        <v>50.438111977532714</v>
      </c>
      <c r="BG13" s="166">
        <f>BG18/SUM(Real!$BJ$8:$BV$8)/10</f>
        <v>49.71858235389287</v>
      </c>
      <c r="BH13" s="166">
        <f>BH18/SUM(Real!$BJ$8:$BV$8)/10</f>
        <v>49.799746504110693</v>
      </c>
      <c r="BI13" s="166">
        <f>BI18/SUM(Real!$BJ$8:$BV$8)/10</f>
        <v>51.917462193905635</v>
      </c>
      <c r="BJ13" s="166">
        <f>BJ18/SUM(Real!$BN$8:$BY$8)/10</f>
        <v>52.533276974660509</v>
      </c>
      <c r="BK13" s="166">
        <f>BK18/SUM(Real!$BN$8:$BY$8)/10</f>
        <v>53.642721192173859</v>
      </c>
      <c r="BL13" s="166">
        <f>BL18/SUM(Real!$BN$8:$BY$8)/10</f>
        <v>54.588816445636482</v>
      </c>
      <c r="BM13" s="166">
        <f>BM18/SUM(Real!$BN$8:$BY$8)/10</f>
        <v>57.020272578832262</v>
      </c>
      <c r="BN13" s="166"/>
      <c r="BO13" s="166">
        <f>(BO18/SUM(Real!$BN$8:$BY$8)*100)/1000</f>
        <v>53.823851536465348</v>
      </c>
      <c r="BP13" s="166">
        <f>(BP18/SUM(Real!$BN$8:$BY$8)*100)/1000</f>
        <v>54.359821403223698</v>
      </c>
      <c r="BQ13" s="166">
        <f>(BQ18/SUM(Real!$BS$8:$CC$8)*100)/1000</f>
        <v>54.029578201281687</v>
      </c>
      <c r="BR13" s="166">
        <f>(BR18/SUM(Real!$BS$8:$CC$8)*100)/1000</f>
        <v>56.446928393273822</v>
      </c>
      <c r="BS13" s="166">
        <f>(BS18/SUM(Real!$BS$8:$CC$8)*100)/1000</f>
        <v>57.28817419186813</v>
      </c>
      <c r="BT13" s="166">
        <f>(BT18/SUM(Real!$BV$8:$CF$8)*100)/1000</f>
        <v>58.459593855131708</v>
      </c>
      <c r="BU13" s="166">
        <f>(BU18/SUM(Real!$BV$8:$CF$8)*100)/1000</f>
        <v>58.038508147698643</v>
      </c>
      <c r="BV13" s="166">
        <f>(BV18/SUM(Real!$BV$8:$CF$8)*100)/1000</f>
        <v>59.18458200501135</v>
      </c>
      <c r="BW13" s="166">
        <f>(BW18/SUM(Real!$BY$8:$CI$8)*100)/1000</f>
        <v>59.90318214697583</v>
      </c>
      <c r="BX13" s="166">
        <f>(BX18/SUM(Real!$BY$8:$CI$8)*100)/1000</f>
        <v>60.084778858429893</v>
      </c>
      <c r="BY13" s="166">
        <f>(BY18/SUM(Real!$BY$8:$CI$8)*100)/1000</f>
        <v>61.26327971193767</v>
      </c>
      <c r="BZ13" s="166">
        <f>(BZ18/SUM(Real!$CA$8:$CL$8)*100)/1000</f>
        <v>62.69768472144807</v>
      </c>
      <c r="CA13" s="166"/>
      <c r="CB13" s="166">
        <f>(CB18/SUM(Real!$CA$8:$CL$8)*100)/1000</f>
        <v>63.281750988157988</v>
      </c>
      <c r="CC13" s="166">
        <f>(CC18/SUM(Real!$CA$8:$CL$8)*100)/1000</f>
        <v>64.621532142820172</v>
      </c>
      <c r="CD13" s="166">
        <f>(CD18/SUM(Real!$CF$8:$CP$8)*100)/1000</f>
        <v>64.424696913446994</v>
      </c>
      <c r="CE13" s="166">
        <f>(CE18/SUM(Real!$CF$8:$CP$8)*100)/1000</f>
        <v>62.995271797627026</v>
      </c>
      <c r="CF13" s="166">
        <f>(CF18/SUM(Real!$CF$8:$CP$8)*100)/1000</f>
        <v>64.883383224430347</v>
      </c>
      <c r="CG13" s="166">
        <f>(CG18/SUM(Real!$CI$8:$CS$8)*100)/1000</f>
        <v>65.747654602089725</v>
      </c>
      <c r="CH13" s="166">
        <f>(CH18/SUM(Real!$CI$8:$CS$8)*100)/1000</f>
        <v>65.050219038810013</v>
      </c>
      <c r="CI13" s="166">
        <f>(CI18/SUM(Real!$CI$8:$CS$8)*100)/1000</f>
        <v>65.852474595306731</v>
      </c>
      <c r="CJ13" s="166">
        <f>(CJ18/SUM(Real!$CL$8:$CV$8)*100)/1000</f>
        <v>66.371196600006215</v>
      </c>
      <c r="CK13" s="166">
        <f>(CK18/SUM(Real!$CL$8:$CV$8)*100)/1000</f>
        <v>66.181402354929702</v>
      </c>
      <c r="CL13" s="166">
        <f>(CL18/SUM(Real!$CL$8:$CV$8)*100)/1000</f>
        <v>66.521293738865609</v>
      </c>
      <c r="CM13" s="166">
        <f>(CM18/SUM(Real!$CP$8:$CY$8)*100)/1000</f>
        <v>69.92068929286323</v>
      </c>
      <c r="CO13" s="166">
        <f>CO18/SUM(Real!$CP$8:$CY$8)*100/1000</f>
        <v>67.346861519515869</v>
      </c>
      <c r="CP13" s="166">
        <f>CP18/SUM(Real!$CP$8:$CY$8)*100/1000</f>
        <v>67.114421622366706</v>
      </c>
      <c r="CQ13" s="166">
        <f>CQ18/SUM(Real!$CP$8:$CY$8)*100/1000</f>
        <v>69.438612163601093</v>
      </c>
      <c r="CR13" s="166">
        <f>CR18/SUM(Real!$CS$8:$DC$8)*100/1000</f>
        <v>68.392779940278146</v>
      </c>
      <c r="CS13" s="166">
        <f>CS18/SUM(Real!$CS$8:$DC$8)*100/1000</f>
        <v>68.68706295275922</v>
      </c>
      <c r="CT13" s="166">
        <f>CT18/SUM(Real!$CS$8:$DC$8)*100/1000</f>
        <v>69.027739292468809</v>
      </c>
      <c r="CU13" s="166">
        <f>CU18/SUM(Real!$CV$8:$DF$8)*100/1000</f>
        <v>68.723541074505647</v>
      </c>
      <c r="CV13" s="166">
        <f>CV18/SUM(Real!$CV$8:$DF$8)*100/1000</f>
        <v>68.164657141350915</v>
      </c>
      <c r="CW13" s="166">
        <f>CW18/SUM(Real!$CV$8:$DF$8)*100/1000</f>
        <v>69.24579999467062</v>
      </c>
      <c r="CX13" s="166">
        <f>CX18/SUM(Real!$CY$8:$DI$8)*100/1000</f>
        <v>68.567181414044796</v>
      </c>
      <c r="CY13" s="166">
        <f>CY18/SUM(Real!$CY$8:$DI$8)*100/1000</f>
        <v>72.22005524468598</v>
      </c>
      <c r="CZ13" s="166">
        <f>CZ18/SUM(Real!$CY$8:$DI$8)*100/1000</f>
        <v>78.516228328755034</v>
      </c>
      <c r="DB13" s="166">
        <f>DB18/SUM(Real!$DC$8:$DL$8)*100/1000</f>
        <v>75.72871375393116</v>
      </c>
      <c r="DC13" s="166">
        <f>DC18/SUM(Real!$DC$8:$DL$8)*100/1000</f>
        <v>75.063622608544463</v>
      </c>
      <c r="DD13" s="166">
        <f>DD18/SUM(Real!$DC$8:$DL$8)*100/1000</f>
        <v>73.574303312100298</v>
      </c>
      <c r="DE13" s="166">
        <f>DE18/SUM(Real!$DF$8:$DP$8)*100/1000</f>
        <v>72.309465914044338</v>
      </c>
      <c r="DF13" s="166">
        <f>DF18/SUM(Real!$DF$8:$DP$8)*100/1000</f>
        <v>72.609308917905452</v>
      </c>
      <c r="DG13" s="166">
        <f>DG18/SUM(Real!$DF$8:$DP$8)*100/1000</f>
        <v>71.176682780444594</v>
      </c>
      <c r="DH13" s="166">
        <f>DH18/SUM(Real!$DI$8:$DS$8)*100/1000</f>
        <v>70.282292993091218</v>
      </c>
      <c r="DI13" s="166">
        <f>DI18/SUM(Real!$DI$8:$DS$8)*100/1000</f>
        <v>70.138798427304565</v>
      </c>
      <c r="DJ13" s="166">
        <f>DJ18/SUM(Real!$DI$8:$DS$8)*100/1000</f>
        <v>70.14818149670036</v>
      </c>
      <c r="DK13" s="166">
        <f>DK18/SUM(Real!$DL$8:$DV$8)*100/1000</f>
        <v>66.98176728179493</v>
      </c>
      <c r="DL13" s="166">
        <f>DL18/SUM(Real!$DL$8:$DV$8)*100/1000</f>
        <v>68.208091072180778</v>
      </c>
      <c r="DM13" s="166">
        <f>DM18/SUM(Real!$DL$8:$DV$8)*100/1000</f>
        <v>71.109476934731617</v>
      </c>
      <c r="DN13" s="166"/>
      <c r="DO13" s="168">
        <f>(DQ18/SUM(Real!$DP$8:$DY$8)*100)/1000</f>
        <v>71.251934808157813</v>
      </c>
      <c r="DP13" s="168">
        <f>(DR18/SUM(Real!$DP$8:$DY$8)*100)/1000</f>
        <v>70.709920672238511</v>
      </c>
      <c r="DQ13" s="168">
        <f>(DS18/SUM(Real!$DP$8:$DY$8)*100)/1000</f>
        <v>69.960127867909321</v>
      </c>
      <c r="DR13" s="168">
        <f>(DR18/SUM(Real!$DS$8:$EC$8)*100)/1000</f>
        <v>70.401728286980116</v>
      </c>
      <c r="DS13" s="168">
        <f>(DS18/SUM(Real!$DS$8:$EC$8)*100)/1000</f>
        <v>69.655203488478378</v>
      </c>
      <c r="DT13" s="168">
        <f>(DT18/SUM(Real!$DS$8:$EC$8)*100)/1000</f>
        <v>70.328609622369086</v>
      </c>
      <c r="DU13" s="168">
        <f>(DU18/SUM(Real!$DV$8:$EF$8)*100)/1000</f>
        <v>70.79262857766291</v>
      </c>
      <c r="DV13" s="168">
        <f>(DV18/SUM(Real!$DV$8:$EF$8)*100)/1000</f>
        <v>70.886261267710339</v>
      </c>
      <c r="DW13" s="168">
        <f>(DW18/SUM(Real!$DV$8:$EF$8)*100)/1000</f>
        <v>71.964989976708836</v>
      </c>
      <c r="DX13" s="168">
        <f>(DX18/SUM(Real!$DY$8:$EI$8)*100)/1000</f>
        <v>73.176804203068841</v>
      </c>
      <c r="DY13" s="168">
        <f>(DY18/SUM(Real!$DY$8:$EI$8)*100)/1000</f>
        <v>74.726786561683681</v>
      </c>
      <c r="DZ13" s="168">
        <f>(DZ18/SUM(Real!$DY$8:$EI$8)*100)/1000</f>
        <v>80.503099557532039</v>
      </c>
      <c r="EB13" s="168">
        <f>(EB18/SUM(Real!$EC$8:$EL$8)*100)/1000</f>
        <v>78.496993486097139</v>
      </c>
      <c r="EC13" s="168">
        <f>(EC18/SUM(Real!$EC$8:$EL$8)*100)/1000</f>
        <v>78.621615272776012</v>
      </c>
      <c r="ED13" s="168">
        <f>(ED18/SUM(Real!$EC$8:$EL$8)*100)/1000</f>
        <v>80.149365253377127</v>
      </c>
      <c r="EE13" s="168">
        <f>(EE18/SUM(Real!$EF$8:$EP$8)*100)/1000</f>
        <v>78.290688955202512</v>
      </c>
      <c r="EF13" s="168">
        <f>(EF18/SUM(Real!$EF$8:$EP$8)*100)/1000</f>
        <v>78.933316856480246</v>
      </c>
      <c r="EG13" s="168">
        <f>(EG18/SUM(Real!$EF$8:$EP$8)*100)/1000</f>
        <v>80.717549001717302</v>
      </c>
      <c r="EH13" s="168">
        <f>(EH18/SUM(Real!$EI$8:$ES$8)*100)/1000</f>
        <v>80.591991206248736</v>
      </c>
    </row>
    <row r="14" spans="1:144" s="168" customFormat="1" hidden="1">
      <c r="A14" s="170" t="s">
        <v>87</v>
      </c>
      <c r="B14" s="166"/>
      <c r="C14" s="166"/>
      <c r="D14" s="166"/>
      <c r="E14" s="166"/>
      <c r="F14" s="166"/>
      <c r="G14" s="166"/>
      <c r="H14" s="166"/>
      <c r="I14" s="166"/>
      <c r="J14" s="167"/>
      <c r="K14" s="167"/>
      <c r="L14" s="166"/>
      <c r="M14" s="167"/>
      <c r="N14" s="167"/>
      <c r="O14" s="167"/>
      <c r="S14" s="169"/>
      <c r="V14" s="169"/>
      <c r="W14" s="169"/>
      <c r="Y14" s="169"/>
      <c r="Z14" s="169"/>
      <c r="AB14" s="169"/>
      <c r="AF14" s="169"/>
      <c r="AG14" s="169"/>
      <c r="BO14" s="168">
        <f>+'[3]Monetary Survey'!CH$23</f>
        <v>616748.81410180009</v>
      </c>
      <c r="BP14" s="168">
        <f>+'[3]Monetary Survey'!CI$23</f>
        <v>627365.89545658999</v>
      </c>
      <c r="BQ14" s="168">
        <f>+'[3]Monetary Survey'!CJ$23</f>
        <v>645409.98505029001</v>
      </c>
      <c r="BR14" s="168">
        <f>+'[3]Monetary Survey'!CK$23</f>
        <v>657288.93004658003</v>
      </c>
      <c r="BS14" s="168">
        <f>+'[3]Monetary Survey'!CL$23</f>
        <v>656316.79799419397</v>
      </c>
      <c r="BT14" s="168">
        <f>+'[3]Monetary Survey'!CM$23</f>
        <v>654877.52255576407</v>
      </c>
      <c r="BU14" s="168">
        <f>+'[3]Monetary Survey'!CN$23</f>
        <v>676320.36844774999</v>
      </c>
      <c r="BV14" s="168">
        <f>+'[3]Monetary Survey'!CO$23</f>
        <v>678049.9870005101</v>
      </c>
      <c r="BW14" s="168">
        <f>+'[3]Monetary Survey'!CP$23</f>
        <v>691830.48561386997</v>
      </c>
      <c r="BX14" s="168">
        <f>+'[3]Monetary Survey'!CQ$23</f>
        <v>705534.31148787006</v>
      </c>
      <c r="BY14" s="168">
        <f>+'[3]Monetary Survey'!CR$23</f>
        <v>712758.22794748005</v>
      </c>
      <c r="BZ14" s="168">
        <f>+'[3]Monetary Survey'!CS$23</f>
        <v>740206.34481895005</v>
      </c>
      <c r="CB14" s="168">
        <f>+'[3]Monetary Survey'!CT$23</f>
        <v>711995.00585632003</v>
      </c>
      <c r="CC14" s="168">
        <f>+'[3]Monetary Survey'!CU$23</f>
        <v>718431.41843495006</v>
      </c>
      <c r="CD14" s="168">
        <f>+'[3]Monetary Survey'!CV$23</f>
        <v>717088.45021428005</v>
      </c>
      <c r="CE14" s="168">
        <f>+'[3]Monetary Survey'!CW$23</f>
        <v>731976.69983868999</v>
      </c>
      <c r="CF14" s="168">
        <f>+'[3]Monetary Survey'!CX$23</f>
        <v>733666.5139888</v>
      </c>
      <c r="CG14" s="168">
        <f>+'[3]Monetary Survey'!CY$23</f>
        <v>736736.9499715101</v>
      </c>
      <c r="CH14" s="168">
        <f>+'[3]Monetary Survey'!CZ$23</f>
        <v>756080.36268905003</v>
      </c>
      <c r="CI14" s="168">
        <f>+'[3]Monetary Survey'!DA$23</f>
        <v>753545.83457301999</v>
      </c>
      <c r="CJ14" s="168">
        <f>+'[3]Monetary Survey'!DB$23</f>
        <v>766337.34385857999</v>
      </c>
      <c r="CK14" s="168">
        <f>+'[3]Monetary Survey'!DC$23</f>
        <v>778934.43909163005</v>
      </c>
      <c r="CL14" s="168">
        <f>+'[3]Monetary Survey'!DD$23</f>
        <v>790043.02650563011</v>
      </c>
      <c r="CM14" s="168">
        <f>+'[3]Monetary Survey'!DE$23</f>
        <v>855089.58970917994</v>
      </c>
      <c r="CO14" s="195">
        <f>+'[3]Monetary Survey'!DF$23</f>
        <v>799795.96444013994</v>
      </c>
      <c r="CP14" s="195">
        <f>+'[3]Monetary Survey'!DG$23</f>
        <v>798706.17390453001</v>
      </c>
      <c r="CQ14" s="195">
        <f>+'[3]Monetary Survey'!DH$23</f>
        <v>800833.37564568012</v>
      </c>
      <c r="CR14" s="195">
        <f>+'[3]Monetary Survey'!DI$23</f>
        <v>818577.90820059995</v>
      </c>
      <c r="CS14" s="195">
        <f>+'[3]Monetary Survey'!DJ$23</f>
        <v>837649.00414331001</v>
      </c>
      <c r="CT14" s="195">
        <f>+'[3]Monetary Survey'!DK$23</f>
        <v>849970.6094090601</v>
      </c>
      <c r="CU14" s="195">
        <f>+'[3]Monetary Survey'!DL$23</f>
        <v>873214.57602912001</v>
      </c>
      <c r="CV14" s="195">
        <f>+'[3]Monetary Survey'!DM$23</f>
        <v>867987.76155341999</v>
      </c>
      <c r="CW14" s="195">
        <f>+'[3]Monetary Survey'!DN$23</f>
        <v>882201.92748317006</v>
      </c>
      <c r="CX14" s="195">
        <f>+'[3]Monetary Survey'!DO$23</f>
        <v>895610.52636791999</v>
      </c>
      <c r="CY14" s="195">
        <f>+'[3]Monetary Survey'!DP$23</f>
        <v>863579.26600326016</v>
      </c>
      <c r="CZ14" s="195">
        <f>+'[3]Monetary Survey'!DQ$23</f>
        <v>833040.93837956013</v>
      </c>
      <c r="DB14" s="195">
        <f>+'[3]Monetary Survey'!DR$23</f>
        <v>787309.01800903992</v>
      </c>
      <c r="DC14" s="195">
        <f>+'[3]Monetary Survey'!DS$23</f>
        <v>764335.34123401006</v>
      </c>
      <c r="DD14" s="195">
        <f>+'[3]Monetary Survey'!DT$23</f>
        <v>792946.94223390997</v>
      </c>
      <c r="DE14" s="195">
        <f>+'[3]Monetary Survey'!DU$23</f>
        <v>816301.18720612</v>
      </c>
      <c r="DF14" s="195">
        <f>+'[3]Monetary Survey'!DV$23</f>
        <v>823849.9996673899</v>
      </c>
      <c r="DG14" s="195">
        <f>+'[3]Monetary Survey'!DW$23</f>
        <v>841256.10004871001</v>
      </c>
      <c r="DH14" s="195">
        <f>+'[3]Monetary Survey'!DX$23</f>
        <v>870885.42149498011</v>
      </c>
      <c r="DI14" s="195">
        <f>+'[3]Monetary Survey'!DY$23</f>
        <v>838137.0420966798</v>
      </c>
      <c r="DJ14" s="195">
        <f>+'[3]Monetary Survey'!DZ$23</f>
        <v>830183.82703459996</v>
      </c>
      <c r="DK14" s="195">
        <f>+'[3]Monetary Survey'!EA$23</f>
        <v>857842.74927903991</v>
      </c>
      <c r="DL14" s="195">
        <f>+'[3]Monetary Survey'!EB$23</f>
        <v>847427.67074120999</v>
      </c>
      <c r="DM14" s="195">
        <f>+'[3]Monetary Survey'!EC$23</f>
        <v>894062.40842481994</v>
      </c>
      <c r="DO14" s="195">
        <f>+'[3]Monetary Survey'!ED$23</f>
        <v>844362.35798311979</v>
      </c>
      <c r="DP14" s="195">
        <f>+'[3]Monetary Survey'!EE$23</f>
        <v>866955.72969299695</v>
      </c>
      <c r="DQ14" s="195">
        <f>+'[3]Monetary Survey'!EF$23</f>
        <v>881670.13778063003</v>
      </c>
      <c r="DR14" s="195">
        <f>+'[3]Monetary Survey'!EG$23</f>
        <v>906734.31457030005</v>
      </c>
      <c r="DS14" s="195">
        <f>+'[3]Monetary Survey'!EH$23</f>
        <v>921610.9539655</v>
      </c>
      <c r="DT14" s="195">
        <f>+'[3]Monetary Survey'!EI$23</f>
        <v>960630.18759835989</v>
      </c>
      <c r="DU14" s="195">
        <f>+'[3]Monetary Survey'!EJ$23</f>
        <v>986647.17375720991</v>
      </c>
      <c r="DV14" s="195">
        <f>+'[3]Monetary Survey'!EK$23</f>
        <v>984631.24573432002</v>
      </c>
      <c r="DW14" s="195">
        <f>+'[3]Monetary Survey'!EL$23</f>
        <v>999753.21324106003</v>
      </c>
      <c r="DX14" s="195">
        <f>+'[3]Monetary Survey'!EM$23</f>
        <v>1018443.6297140799</v>
      </c>
      <c r="DY14" s="195">
        <f>+'[3]Monetary Survey'!EN$23</f>
        <v>1041982.0333427398</v>
      </c>
      <c r="DZ14" s="195">
        <f>+'[3]Monetary Survey'!EO$23</f>
        <v>1073730.4332219099</v>
      </c>
      <c r="EA14" s="195"/>
      <c r="EB14" s="168">
        <f>+'[3]Monetary Survey'!EP$23</f>
        <v>1047132.9798514401</v>
      </c>
      <c r="EC14" s="168">
        <f>+'[3]Monetary Survey'!EQ$23</f>
        <v>1073655.6181657198</v>
      </c>
      <c r="ED14" s="168">
        <f>+'[3]Monetary Survey'!ER$23</f>
        <v>1094593.10581029</v>
      </c>
      <c r="EE14" s="168">
        <f>+'[3]Monetary Survey'!ES$23</f>
        <v>1096747.37999033</v>
      </c>
      <c r="EF14" s="168">
        <f>+'[3]Monetary Survey'!ET$23</f>
        <v>1111413.2046046802</v>
      </c>
      <c r="EG14" s="168">
        <f>+'[3]Monetary Survey'!EU$23</f>
        <v>1141357.1435368902</v>
      </c>
      <c r="EH14" s="168">
        <f>+'[3]Monetary Survey'!EV$23</f>
        <v>1208521.5040886998</v>
      </c>
    </row>
    <row r="15" spans="1:144" s="168" customFormat="1" ht="17.25" hidden="1" customHeight="1">
      <c r="A15" s="170" t="s">
        <v>88</v>
      </c>
      <c r="B15" s="166"/>
      <c r="C15" s="166"/>
      <c r="D15" s="166"/>
      <c r="E15" s="166"/>
      <c r="F15" s="166"/>
      <c r="G15" s="166"/>
      <c r="H15" s="166"/>
      <c r="I15" s="166"/>
      <c r="J15" s="167"/>
      <c r="K15" s="167"/>
      <c r="L15" s="166"/>
      <c r="M15" s="167"/>
      <c r="N15" s="167"/>
      <c r="O15" s="167"/>
      <c r="S15" s="169"/>
      <c r="V15" s="169"/>
      <c r="W15" s="169"/>
      <c r="Y15" s="169"/>
      <c r="Z15" s="169"/>
      <c r="AB15" s="169"/>
      <c r="AF15" s="169"/>
      <c r="AG15" s="169"/>
      <c r="BO15" s="168">
        <f>+'[3]Monetary Survey'!CH$22</f>
        <v>1096422.8775498201</v>
      </c>
      <c r="BP15" s="168">
        <f>+'[3]Monetary Survey'!CI$22</f>
        <v>1113328.3903046099</v>
      </c>
      <c r="BQ15" s="168">
        <f>+'[3]Monetary Survey'!CJ$22</f>
        <v>1132057.6738927299</v>
      </c>
      <c r="BR15" s="168">
        <f>+'[3]Monetary Survey'!CK$22</f>
        <v>1152488.16175678</v>
      </c>
      <c r="BS15" s="168">
        <f>+'[3]Monetary Survey'!CL$22</f>
        <v>1174707.753926184</v>
      </c>
      <c r="BT15" s="168">
        <f>+'[3]Monetary Survey'!CM$22</f>
        <v>1198538.2290830142</v>
      </c>
      <c r="BU15" s="168">
        <f>+'[3]Monetary Survey'!CN$22</f>
        <v>1216905.678722098</v>
      </c>
      <c r="BV15" s="168">
        <f>+'[3]Monetary Survey'!CO$22</f>
        <v>1242539.8326682099</v>
      </c>
      <c r="BW15" s="168">
        <f>+'[3]Monetary Survey'!CP$22</f>
        <v>1270471.5492314501</v>
      </c>
      <c r="BX15" s="168">
        <f>+'[3]Monetary Survey'!CQ$22</f>
        <v>1282426.0653339501</v>
      </c>
      <c r="BY15" s="168">
        <f>+'[3]Monetary Survey'!CR$22</f>
        <v>1299585.1462886201</v>
      </c>
      <c r="BZ15" s="168">
        <f>+'[3]Monetary Survey'!CS$22</f>
        <v>1347013.5815634001</v>
      </c>
      <c r="CB15" s="168">
        <f>+'[3]Monetary Survey'!CT$22</f>
        <v>1320218.80273151</v>
      </c>
      <c r="CC15" s="168">
        <f>+'[3]Monetary Survey'!CU$22</f>
        <v>1349529.0827139399</v>
      </c>
      <c r="CD15" s="168">
        <f>+'[3]Monetary Survey'!CV$22</f>
        <v>1362738.3351787999</v>
      </c>
      <c r="CE15" s="168">
        <f>+'[3]Monetary Survey'!CW$22</f>
        <v>1367138.6076185</v>
      </c>
      <c r="CF15" s="168">
        <f>+'[3]Monetary Survey'!CX$22</f>
        <v>1387220.8668241301</v>
      </c>
      <c r="CG15" s="168">
        <f>+'[3]Monetary Survey'!CY$22</f>
        <v>1387079.7741201022</v>
      </c>
      <c r="CH15" s="168">
        <f>+'[3]Monetary Survey'!CZ$22</f>
        <v>1417137.9105776553</v>
      </c>
      <c r="CI15" s="168">
        <f>+'[3]Monetary Survey'!DA$22</f>
        <v>1430403.5999983791</v>
      </c>
      <c r="CJ15" s="168">
        <f>+'[3]Monetary Survey'!DB$22</f>
        <v>1462057.4788453169</v>
      </c>
      <c r="CK15" s="168">
        <f>+'[3]Monetary Survey'!DC$22</f>
        <v>1470325.4460424499</v>
      </c>
      <c r="CL15" s="168">
        <f>+'[3]Monetary Survey'!DD$22</f>
        <v>1478585.4571773987</v>
      </c>
      <c r="CM15" s="168">
        <f>+'[3]Monetary Survey'!DE$22</f>
        <v>1552138.5128743816</v>
      </c>
      <c r="CO15" s="195">
        <f>+'[3]Monetary Survey'!DF$22</f>
        <v>1497924.422823966</v>
      </c>
      <c r="CP15" s="195">
        <f>+'[3]Monetary Survey'!DG$22</f>
        <v>1518746.9357081032</v>
      </c>
      <c r="CQ15" s="195">
        <f>+'[3]Monetary Survey'!DH$22</f>
        <v>1543985.9063010602</v>
      </c>
      <c r="CR15" s="195">
        <f>+'[3]Monetary Survey'!DI$22</f>
        <v>1557121.7323155799</v>
      </c>
      <c r="CS15" s="195">
        <f>+'[3]Monetary Survey'!DJ$22</f>
        <v>1587929.1979538202</v>
      </c>
      <c r="CT15" s="195">
        <f>+'[3]Monetary Survey'!DK$22</f>
        <v>1599449.8493373003</v>
      </c>
      <c r="CU15" s="195">
        <f>+'[3]Monetary Survey'!DL$22</f>
        <v>1613869.9103125702</v>
      </c>
      <c r="CV15" s="195">
        <f>+'[3]Monetary Survey'!DM$22</f>
        <v>1616501.59037629</v>
      </c>
      <c r="CW15" s="195">
        <f>+'[3]Monetary Survey'!DN$22</f>
        <v>1610995.2903966499</v>
      </c>
      <c r="CX15" s="195">
        <f>+'[3]Monetary Survey'!DO$22</f>
        <v>1638789.4325574001</v>
      </c>
      <c r="CY15" s="195">
        <f>+'[3]Monetary Survey'!DP$22</f>
        <v>1666212.9631788703</v>
      </c>
      <c r="CZ15" s="195">
        <f>+'[3]Monetary Survey'!DQ$22</f>
        <v>1689782.5049007002</v>
      </c>
      <c r="DB15" s="195">
        <f>+'[3]Monetary Survey'!DR$22</f>
        <v>1644330.0285446099</v>
      </c>
      <c r="DC15" s="195">
        <f>+'[3]Monetary Survey'!DS$22</f>
        <v>1622055.42011473</v>
      </c>
      <c r="DD15" s="195">
        <f>+'[3]Monetary Survey'!DT$22</f>
        <v>1638086.05280201</v>
      </c>
      <c r="DE15" s="195">
        <f>+'[3]Monetary Survey'!DU$22</f>
        <v>1674538.5733912801</v>
      </c>
      <c r="DF15" s="195">
        <f>+'[3]Monetary Survey'!DV$22</f>
        <v>1715429.00093211</v>
      </c>
      <c r="DG15" s="195">
        <f>+'[3]Monetary Survey'!DW$22</f>
        <v>1722673.6499736302</v>
      </c>
      <c r="DH15" s="195">
        <f>+'[3]Monetary Survey'!DX$22</f>
        <v>1802363.06264841</v>
      </c>
      <c r="DI15" s="195">
        <f>+'[3]Monetary Survey'!DY$22</f>
        <v>1773340.0823837598</v>
      </c>
      <c r="DJ15" s="195">
        <f>+'[3]Monetary Survey'!DZ$22</f>
        <v>1750019.8138864799</v>
      </c>
      <c r="DK15" s="195">
        <f>+'[3]Monetary Survey'!EA$22</f>
        <v>1786750.6234858599</v>
      </c>
      <c r="DL15" s="195">
        <f>+'[3]Monetary Survey'!EB$22</f>
        <v>1802322.6404293301</v>
      </c>
      <c r="DM15" s="195">
        <f>+'[3]Monetary Survey'!EC$22</f>
        <v>1869757.09161455</v>
      </c>
      <c r="DO15" s="195">
        <f>+'[3]Monetary Survey'!ED$22</f>
        <v>1831138.7185920901</v>
      </c>
      <c r="DP15" s="195">
        <f>+'[3]Monetary Survey'!EE$22</f>
        <v>1875932.3147838968</v>
      </c>
      <c r="DQ15" s="195">
        <f>+'[3]Monetary Survey'!EF$22</f>
        <v>1890039.6622474901</v>
      </c>
      <c r="DR15" s="195">
        <f>+'[3]Monetary Survey'!EG$22</f>
        <v>1887194.45878177</v>
      </c>
      <c r="DS15" s="195">
        <f>+'[3]Monetary Survey'!EH$22</f>
        <v>1890310.88284392</v>
      </c>
      <c r="DT15" s="195">
        <f>+'[3]Monetary Survey'!EI$22</f>
        <v>1942095.0396585497</v>
      </c>
      <c r="DU15" s="195">
        <f>+'[3]Monetary Survey'!EJ$22</f>
        <v>2023776.13980778</v>
      </c>
      <c r="DV15" s="195">
        <f>+'[3]Monetary Survey'!EK$22</f>
        <v>2008948.8593079499</v>
      </c>
      <c r="DW15" s="195">
        <f>+'[3]Monetary Survey'!EL$22</f>
        <v>2022018.04501274</v>
      </c>
      <c r="DX15" s="195">
        <f>+'[3]Monetary Survey'!EM$22</f>
        <v>2055025.86307444</v>
      </c>
      <c r="DY15" s="195">
        <f>+'[3]Monetary Survey'!EN$22</f>
        <v>2080707.0778451099</v>
      </c>
      <c r="DZ15" s="195">
        <f>+'[3]Monetary Survey'!EO$22</f>
        <v>2180097.92016639</v>
      </c>
      <c r="EB15" s="168">
        <f>+'[3]Monetary Survey'!EP$22</f>
        <v>2161386.4445443898</v>
      </c>
      <c r="EC15" s="168">
        <f>+'[3]Monetary Survey'!EQ$22</f>
        <v>2204420.3686816497</v>
      </c>
      <c r="ED15" s="168">
        <f>+'[3]Monetary Survey'!ER$22</f>
        <v>2221946.5026588403</v>
      </c>
      <c r="EE15" s="168">
        <f>+'[3]Monetary Survey'!ES$22</f>
        <v>2231297.1335945698</v>
      </c>
      <c r="EF15" s="168">
        <f>+'[3]Monetary Survey'!ET$22</f>
        <v>2230861.1342555801</v>
      </c>
      <c r="EG15" s="168">
        <f>+'[3]Monetary Survey'!EU$22</f>
        <v>2256031.3068664102</v>
      </c>
      <c r="EH15" s="168">
        <f>+'[3]Monetary Survey'!EV$22</f>
        <v>2350930.7002761099</v>
      </c>
    </row>
    <row r="16" spans="1:144" s="168" customFormat="1" hidden="1">
      <c r="A16" s="170" t="s">
        <v>36</v>
      </c>
      <c r="B16" s="166"/>
      <c r="C16" s="166"/>
      <c r="D16" s="166"/>
      <c r="E16" s="166"/>
      <c r="F16" s="166"/>
      <c r="G16" s="166"/>
      <c r="H16" s="166"/>
      <c r="I16" s="166"/>
      <c r="J16" s="167"/>
      <c r="K16" s="167"/>
      <c r="L16" s="166"/>
      <c r="M16" s="167"/>
      <c r="N16" s="167"/>
      <c r="O16" s="167"/>
      <c r="S16" s="169"/>
      <c r="V16" s="169"/>
      <c r="W16" s="169"/>
      <c r="Y16" s="169"/>
      <c r="Z16" s="169"/>
      <c r="AB16" s="169"/>
      <c r="AF16" s="169"/>
      <c r="AG16" s="169"/>
      <c r="BO16" s="168">
        <f>+'[3]Monetary Survey'!CH$45</f>
        <v>777183.96167682018</v>
      </c>
      <c r="BP16" s="168">
        <f>+'[3]Monetary Survey'!CI$45</f>
        <v>793534.60130871006</v>
      </c>
      <c r="BQ16" s="168">
        <f>+'[3]Monetary Survey'!CJ$45</f>
        <v>810560.36738663004</v>
      </c>
      <c r="BR16" s="168">
        <f>+'[3]Monetary Survey'!CK$45</f>
        <v>815067.07170758001</v>
      </c>
      <c r="BS16" s="168">
        <f>+'[3]Monetary Survey'!CL$45</f>
        <v>838660.37551958393</v>
      </c>
      <c r="BT16" s="168">
        <f>+'[3]Monetary Survey'!CM$45</f>
        <v>859352.0497558139</v>
      </c>
      <c r="BU16" s="168">
        <f>+'[3]Monetary Survey'!CN$45</f>
        <v>863667.43901199801</v>
      </c>
      <c r="BV16" s="168">
        <f>+'[3]Monetary Survey'!CO$45</f>
        <v>887198.31662711001</v>
      </c>
      <c r="BW16" s="168">
        <f>+'[3]Monetary Survey'!CP$45</f>
        <v>914640.59447924991</v>
      </c>
      <c r="BX16" s="168">
        <f>+'[3]Monetary Survey'!CQ$45</f>
        <v>921363.09105385002</v>
      </c>
      <c r="BY16" s="168">
        <f>+'[3]Monetary Survey'!CR$45</f>
        <v>938515.22145572002</v>
      </c>
      <c r="BZ16" s="168">
        <f>+'[3]Monetary Survey'!CS$45</f>
        <v>962700.49209850002</v>
      </c>
      <c r="CB16" s="168">
        <f>+'[3]Monetary Survey'!CT$45</f>
        <v>968116.19769701001</v>
      </c>
      <c r="CC16" s="168">
        <f>+'[3]Monetary Survey'!CU$45</f>
        <v>1006926.4391605399</v>
      </c>
      <c r="CD16" s="168">
        <f>+'[3]Monetary Survey'!CV$45</f>
        <v>1018348.7012230001</v>
      </c>
      <c r="CE16" s="168">
        <f>+'[3]Monetary Survey'!CW$45</f>
        <v>1020683.6900382</v>
      </c>
      <c r="CF16" s="168">
        <f>+'[3]Monetary Survey'!CX$45</f>
        <v>1033516.1284231299</v>
      </c>
      <c r="CG16" s="168">
        <f>+'[3]Monetary Survey'!CY$45</f>
        <v>1034777.1305774022</v>
      </c>
      <c r="CH16" s="168">
        <f>+'[3]Monetary Survey'!CZ$45</f>
        <v>1051563.5439428552</v>
      </c>
      <c r="CI16" s="168">
        <f>+'[3]Monetary Survey'!DA$45</f>
        <v>1070682.222638079</v>
      </c>
      <c r="CJ16" s="168">
        <f>+'[3]Monetary Survey'!DB$45</f>
        <v>1106213.1627045169</v>
      </c>
      <c r="CK16" s="168">
        <f>+'[3]Monetary Survey'!DC$45</f>
        <v>1110429.3138152498</v>
      </c>
      <c r="CL16" s="168">
        <f>+'[3]Monetary Survey'!DD$45</f>
        <v>1125777.3653293988</v>
      </c>
      <c r="CM16" s="168">
        <f>+'[3]Monetary Survey'!DE$45</f>
        <v>1167247.4503751816</v>
      </c>
      <c r="CO16" s="195">
        <f>+'[3]Monetary Survey'!DF$45</f>
        <v>1158986.4844059662</v>
      </c>
      <c r="CP16" s="195">
        <f>+'[3]Monetary Survey'!DG$45</f>
        <v>1187243.3547516032</v>
      </c>
      <c r="CQ16" s="195">
        <f>+'[3]Monetary Survey'!DH$45</f>
        <v>1214822.5258005601</v>
      </c>
      <c r="CR16" s="195">
        <f>+'[3]Monetary Survey'!DI$45</f>
        <v>1221458.7105341798</v>
      </c>
      <c r="CS16" s="195">
        <f>+'[3]Monetary Survey'!DJ$45</f>
        <v>1245350.5965565201</v>
      </c>
      <c r="CT16" s="195">
        <f>+'[3]Monetary Survey'!DK$45</f>
        <v>1251101.8938367004</v>
      </c>
      <c r="CU16" s="195">
        <f>+'[3]Monetary Survey'!DL$45</f>
        <v>1255258.4575241702</v>
      </c>
      <c r="CV16" s="195">
        <f>+'[3]Monetary Survey'!DM$45</f>
        <v>1250673.2128046898</v>
      </c>
      <c r="CW16" s="195">
        <f>+'[3]Monetary Survey'!DN$45</f>
        <v>1249782.5204287497</v>
      </c>
      <c r="CX16" s="195">
        <f>+'[3]Monetary Survey'!DO$45</f>
        <v>1273184.4314009002</v>
      </c>
      <c r="CY16" s="195">
        <f>+'[3]Monetary Survey'!DP$45</f>
        <v>1318565.9833723702</v>
      </c>
      <c r="CZ16" s="195">
        <f>+'[3]Monetary Survey'!DQ$45</f>
        <v>1340566.8606975002</v>
      </c>
      <c r="DB16" s="195">
        <f>+'[3]Monetary Survey'!DR$45</f>
        <v>1336792.0948627098</v>
      </c>
      <c r="DC16" s="195">
        <f>+'[3]Monetary Survey'!DS$45</f>
        <v>1319260.4209122302</v>
      </c>
      <c r="DD16" s="195">
        <f>+'[3]Monetary Survey'!DT$45</f>
        <v>1340330.7083947102</v>
      </c>
      <c r="DE16" s="195">
        <f>+'[3]Monetary Survey'!DU$45</f>
        <v>1366900.7604528801</v>
      </c>
      <c r="DF16" s="195">
        <f>+'[3]Monetary Survey'!DV$45</f>
        <v>1401222.9328277099</v>
      </c>
      <c r="DG16" s="195">
        <f>+'[3]Monetary Survey'!DW$45</f>
        <v>1396974.4388656304</v>
      </c>
      <c r="DH16" s="195">
        <f>+'[3]Monetary Survey'!DX$45</f>
        <v>1455711.86799701</v>
      </c>
      <c r="DI16" s="195">
        <f>+'[3]Monetary Survey'!DY$45</f>
        <v>1443696.0501367599</v>
      </c>
      <c r="DJ16" s="195">
        <f>+'[3]Monetary Survey'!DZ$45</f>
        <v>1426201.0722489799</v>
      </c>
      <c r="DK16" s="195">
        <f>+'[3]Monetary Survey'!EA$45</f>
        <v>1461520.90144606</v>
      </c>
      <c r="DL16" s="195">
        <f>+'[3]Monetary Survey'!EB$45</f>
        <v>1476258.4937243299</v>
      </c>
      <c r="DM16" s="195">
        <f>+'[3]Monetary Survey'!EC$45</f>
        <v>1522848.0536876502</v>
      </c>
      <c r="DO16" s="195">
        <f>+'[3]Monetary Survey'!ED$45</f>
        <v>1522989.3429507902</v>
      </c>
      <c r="DP16" s="195">
        <f>+'[3]Monetary Survey'!EE$45</f>
        <v>1577447.1323771966</v>
      </c>
      <c r="DQ16" s="195">
        <f>+'[3]Monetary Survey'!EF$45</f>
        <v>1591679.1170957901</v>
      </c>
      <c r="DR16" s="195">
        <f>+'[3]Monetary Survey'!EG$45</f>
        <v>1575546.8825665698</v>
      </c>
      <c r="DS16" s="195">
        <f>+'[3]Monetary Survey'!EH$45</f>
        <v>1572126.80127342</v>
      </c>
      <c r="DT16" s="195">
        <f>+'[3]Monetary Survey'!EI$45</f>
        <v>1608346.8511432498</v>
      </c>
      <c r="DU16" s="195">
        <f>+'[3]Monetary Survey'!EJ$45</f>
        <v>1673989.9225061799</v>
      </c>
      <c r="DV16" s="195">
        <f>+'[3]Monetary Survey'!EK$45</f>
        <v>1655970.4902920499</v>
      </c>
      <c r="DW16" s="195">
        <f>+'[3]Monetary Survey'!EL$45</f>
        <v>1665787.0652900401</v>
      </c>
      <c r="DX16" s="195">
        <f>+'[3]Monetary Survey'!EM$45</f>
        <v>1697302.5812144401</v>
      </c>
      <c r="DY16" s="195">
        <f>+'[3]Monetary Survey'!EN$45</f>
        <v>1728131.43849351</v>
      </c>
      <c r="DZ16" s="195">
        <f>+'[3]Monetary Survey'!EO$45</f>
        <v>1789179.4587838901</v>
      </c>
      <c r="EB16" s="168">
        <f>+'[3]Monetary Survey'!EP$45</f>
        <v>1797930.87038779</v>
      </c>
      <c r="EC16" s="168">
        <f>+'[3]Monetary Survey'!EQ$45</f>
        <v>1843836.77659825</v>
      </c>
      <c r="ED16" s="168">
        <f>+'[3]Monetary Survey'!ER$45</f>
        <v>1843097.0034303402</v>
      </c>
      <c r="EE16" s="168">
        <f>+'[3]Monetary Survey'!ES$45</f>
        <v>1858618.0548658699</v>
      </c>
      <c r="EF16" s="168">
        <f>+'[3]Monetary Survey'!ET$45</f>
        <v>1853842.4880079802</v>
      </c>
      <c r="EG16" s="168">
        <f>+'[3]Monetary Survey'!EU$45</f>
        <v>1868384.9207195102</v>
      </c>
      <c r="EH16" s="168">
        <f>+'[3]Monetary Survey'!EV$45</f>
        <v>1943229.2904171101</v>
      </c>
    </row>
    <row r="17" spans="1:144" s="168" customFormat="1" ht="14.25" hidden="1" customHeight="1">
      <c r="A17" s="165" t="s">
        <v>71</v>
      </c>
      <c r="B17" s="166">
        <v>246524.96799999999</v>
      </c>
      <c r="C17" s="166">
        <v>255296.53500000003</v>
      </c>
      <c r="D17" s="166">
        <v>272814.96699999995</v>
      </c>
      <c r="E17" s="166">
        <v>288931.93599999999</v>
      </c>
      <c r="F17" s="166">
        <v>295612.429</v>
      </c>
      <c r="G17" s="166">
        <v>306523.27600000001</v>
      </c>
      <c r="H17" s="166">
        <v>325705.26699999999</v>
      </c>
      <c r="I17" s="166">
        <v>349296.53899999999</v>
      </c>
      <c r="J17" s="166">
        <v>370002</v>
      </c>
      <c r="K17" s="166">
        <v>388889</v>
      </c>
      <c r="L17" s="166">
        <v>403640</v>
      </c>
      <c r="M17" s="166">
        <v>426150</v>
      </c>
      <c r="N17" s="166"/>
      <c r="O17" s="166">
        <v>427609</v>
      </c>
      <c r="P17" s="168">
        <v>457445</v>
      </c>
      <c r="Q17" s="168">
        <v>481142</v>
      </c>
      <c r="R17" s="168">
        <v>501853.81900000002</v>
      </c>
      <c r="S17" s="168">
        <v>523210.50199999998</v>
      </c>
      <c r="T17" s="168">
        <v>546054.84499999997</v>
      </c>
      <c r="U17" s="168">
        <v>566963</v>
      </c>
      <c r="V17" s="168">
        <v>594997</v>
      </c>
      <c r="W17" s="168">
        <v>613863</v>
      </c>
      <c r="X17" s="168">
        <v>631385.84200000006</v>
      </c>
      <c r="Y17" s="168">
        <v>634225.87800000003</v>
      </c>
      <c r="Z17" s="168">
        <v>634495.15599999996</v>
      </c>
      <c r="AB17" s="168">
        <v>618491.32200000004</v>
      </c>
      <c r="AC17" s="168">
        <v>612086.51899999997</v>
      </c>
      <c r="AD17" s="168">
        <v>655111.35800000001</v>
      </c>
      <c r="AE17" s="168">
        <v>645819.17000000004</v>
      </c>
      <c r="AF17" s="168">
        <v>634532.73300000001</v>
      </c>
      <c r="AG17" s="168">
        <v>627151.15399999998</v>
      </c>
      <c r="AH17" s="168">
        <v>649247.95500000007</v>
      </c>
      <c r="AI17" s="168">
        <v>660877.56999999995</v>
      </c>
      <c r="AJ17" s="168">
        <v>686015.82700000005</v>
      </c>
      <c r="AK17" s="168">
        <v>700831.02399999998</v>
      </c>
      <c r="AL17" s="168">
        <v>707632.2</v>
      </c>
      <c r="AM17" s="168">
        <v>735199.929</v>
      </c>
      <c r="AO17" s="168">
        <v>725220.74899999995</v>
      </c>
      <c r="AP17" s="168">
        <v>743161.08499999996</v>
      </c>
      <c r="AQ17" s="168">
        <v>779966.69</v>
      </c>
      <c r="AR17" s="168">
        <v>768252.58499999996</v>
      </c>
      <c r="AS17" s="168">
        <v>779884.68400000001</v>
      </c>
      <c r="AT17" s="168">
        <v>797921.63500000001</v>
      </c>
      <c r="AU17" s="168">
        <v>812858.39599999995</v>
      </c>
      <c r="AV17" s="168">
        <v>831232.31599999999</v>
      </c>
      <c r="AW17" s="168">
        <v>856995.91500000004</v>
      </c>
      <c r="AX17" s="168">
        <v>883944.245</v>
      </c>
      <c r="AY17" s="168">
        <v>912054.46499999997</v>
      </c>
      <c r="AZ17" s="168">
        <v>949772.47900000005</v>
      </c>
      <c r="BB17" s="168">
        <v>960803.06499999994</v>
      </c>
      <c r="BC17" s="168">
        <v>996204.30700000003</v>
      </c>
      <c r="BD17" s="168">
        <v>1039298.66</v>
      </c>
      <c r="BE17" s="168">
        <v>1067352.7990000001</v>
      </c>
      <c r="BF17" s="168">
        <v>1110621.7690000001</v>
      </c>
      <c r="BG17" s="168">
        <v>1123277.6599999999</v>
      </c>
      <c r="BH17" s="168">
        <v>1123567.737</v>
      </c>
      <c r="BI17" s="168">
        <v>1145732.692</v>
      </c>
      <c r="BJ17" s="168">
        <v>1179260.1969999999</v>
      </c>
      <c r="BK17" s="168">
        <v>1212260.5859999999</v>
      </c>
      <c r="BL17" s="168">
        <v>1236150.4029999999</v>
      </c>
      <c r="BM17" s="168">
        <v>1268789.3630000001</v>
      </c>
      <c r="BO17" s="168">
        <v>1287087.2884407218</v>
      </c>
      <c r="BP17" s="168">
        <v>1321416.0854069374</v>
      </c>
      <c r="BQ17" s="168">
        <v>1353939.4170056211</v>
      </c>
      <c r="BR17" s="168">
        <v>1395001.3698955628</v>
      </c>
      <c r="BS17" s="168">
        <v>1445771.5399758888</v>
      </c>
      <c r="BT17" s="168">
        <v>1494183.4914365765</v>
      </c>
      <c r="BU17" s="168">
        <v>1484400.8646150853</v>
      </c>
      <c r="BV17" s="168">
        <v>1506001.7264907118</v>
      </c>
      <c r="BW17" s="168">
        <v>1526248.6403650956</v>
      </c>
      <c r="BX17" s="168">
        <v>1531702.3081166318</v>
      </c>
      <c r="BY17" s="168">
        <v>1569811.1559879933</v>
      </c>
      <c r="BZ17" s="168">
        <v>1605679.5347581275</v>
      </c>
      <c r="CB17" s="168">
        <v>1622361.0041802342</v>
      </c>
      <c r="CC17" s="168">
        <v>1658548.870036358</v>
      </c>
      <c r="CD17" s="168">
        <v>1656178.5302601915</v>
      </c>
      <c r="CE17" s="168">
        <v>1683091.9065967351</v>
      </c>
      <c r="CF17" s="168">
        <v>1694978.8119795381</v>
      </c>
      <c r="CG17" s="168">
        <v>1687913.6299485113</v>
      </c>
      <c r="CH17" s="168">
        <v>1703695.7305867842</v>
      </c>
      <c r="CI17" s="168">
        <v>1698554.1957104488</v>
      </c>
      <c r="CJ17" s="168">
        <v>1711604.8836749648</v>
      </c>
      <c r="CK17" s="168">
        <v>1714579.6295578163</v>
      </c>
      <c r="CL17" s="168">
        <v>1743391.8485419978</v>
      </c>
      <c r="CM17" s="168">
        <v>1798254.7620632637</v>
      </c>
      <c r="CO17" s="168">
        <f>+[4]loan!BW$29</f>
        <v>1782515.6589415395</v>
      </c>
      <c r="CP17" s="168">
        <f>+[4]loan!BX$29</f>
        <v>1809558.3938049369</v>
      </c>
      <c r="CQ17" s="168">
        <f>+[4]loan!BY$29</f>
        <v>1833530.8790440948</v>
      </c>
      <c r="CR17" s="168">
        <f>+[4]loan!BZ$29</f>
        <v>1866631.2690778461</v>
      </c>
      <c r="CS17" s="168">
        <f>+[4]loan!CA$29</f>
        <v>1872120.3597885373</v>
      </c>
      <c r="CT17" s="168">
        <f>+[4]loan!CB$29</f>
        <v>1884206.4681666146</v>
      </c>
      <c r="CU17" s="168">
        <f>+[4]loan!CC$29</f>
        <v>1881176.4090482702</v>
      </c>
      <c r="CV17" s="168">
        <f>+[4]loan!CD$29</f>
        <v>1906192.0076916192</v>
      </c>
      <c r="CW17" s="168">
        <f>+[4]loan!CE$29</f>
        <v>1930581.1223507915</v>
      </c>
      <c r="CX17" s="168">
        <f>+[4]loan!CF$29</f>
        <v>1956824.9635255879</v>
      </c>
      <c r="CY17" s="168">
        <f>+[4]loan!CG$29</f>
        <v>2049805.9804258959</v>
      </c>
      <c r="CZ17" s="168">
        <f>+[4]loan!CH$29</f>
        <v>2188356.5880691102</v>
      </c>
      <c r="DB17" s="168">
        <f>+[4]loan!CI$29</f>
        <v>2134093.5021555698</v>
      </c>
      <c r="DC17" s="168">
        <f>+[4]loan!CJ$29</f>
        <v>2119839.9761737804</v>
      </c>
      <c r="DD17" s="168">
        <f>+[4]loan!CK$29</f>
        <v>2093272.01964355</v>
      </c>
      <c r="DE17" s="168">
        <f>+[4]loan!CL$29</f>
        <v>2111507.7881617597</v>
      </c>
      <c r="DF17" s="168">
        <f>+[4]loan!CM$29</f>
        <v>2089909.7376499998</v>
      </c>
      <c r="DG17" s="168">
        <f>+[4]loan!CN$29</f>
        <v>2080409.2371961297</v>
      </c>
      <c r="DH17" s="168">
        <f>+[4]loan!CO$29</f>
        <v>2086284.6934025099</v>
      </c>
      <c r="DI17" s="168">
        <f>+[4]loan!CP$29</f>
        <v>2088992.58042417</v>
      </c>
      <c r="DJ17" s="168">
        <f>+[4]loan!CQ$29</f>
        <v>2065323.2336541398</v>
      </c>
      <c r="DK17" s="168">
        <f>+[4]loan!CR$29</f>
        <v>2069230.48707735</v>
      </c>
      <c r="DL17" s="168">
        <f>+[4]loan!CS$29</f>
        <v>2100522.2043460603</v>
      </c>
      <c r="DM17" s="168">
        <f>+[4]loan!CT$29</f>
        <v>2119512.7969985404</v>
      </c>
      <c r="DO17" s="168">
        <f>+[4]loan!CU$29</f>
        <v>2117466.5691930703</v>
      </c>
      <c r="DP17" s="168">
        <f>+[4]loan!CV$29</f>
        <v>2167601.0278034597</v>
      </c>
      <c r="DQ17" s="168">
        <f>+[4]loan!CW$29</f>
        <v>2166083.5636253497</v>
      </c>
      <c r="DR17" s="168">
        <f>+[4]loan!CX$29</f>
        <v>2179675.90591224</v>
      </c>
      <c r="DS17" s="168">
        <f>+[4]loan!CY$29</f>
        <v>2178722.38191777</v>
      </c>
      <c r="DT17" s="168">
        <f>+[4]loan!CZ$29</f>
        <v>2206081.9754687599</v>
      </c>
      <c r="DU17" s="168">
        <f>+[4]loan!DA$29</f>
        <v>2202264.7804509299</v>
      </c>
      <c r="DV17" s="168">
        <f>+[4]loan!DB$29</f>
        <v>2211935.5074384301</v>
      </c>
      <c r="DW17" s="168">
        <f>+[4]loan!DC$29</f>
        <v>2213472.6897770599</v>
      </c>
      <c r="DX17" s="168">
        <f>+[4]loan!DD$29</f>
        <v>2253732.1774769998</v>
      </c>
      <c r="DY17" s="168">
        <f>+[4]loan!DE$29</f>
        <v>2319996.2133881701</v>
      </c>
      <c r="DZ17" s="168">
        <f>+[4]loan!DF$29</f>
        <v>2436081.4914728301</v>
      </c>
      <c r="EB17" s="168">
        <f>+[4]loan!DG$29</f>
        <v>2404950.0362559599</v>
      </c>
      <c r="EC17" s="168">
        <f>+[4]loan!DH$29</f>
        <v>2421664.5807759203</v>
      </c>
      <c r="ED17" s="168">
        <f>+[4]loan!DI$29</f>
        <v>2449080.3029625798</v>
      </c>
      <c r="EE17" s="168">
        <f>+[4]loan!DJ$29</f>
        <v>2474351.0830829898</v>
      </c>
      <c r="EF17" s="168">
        <f>+[4]loan!DK$29</f>
        <v>2480709.27856853</v>
      </c>
      <c r="EG17" s="168">
        <f>+[4]loan!DL$29</f>
        <v>2490670.4584916104</v>
      </c>
      <c r="EH17" s="168">
        <f>+[4]loan!DM$29</f>
        <v>2506572.2042167699</v>
      </c>
    </row>
    <row r="18" spans="1:144" s="168" customFormat="1" hidden="1">
      <c r="A18" s="165" t="s">
        <v>3</v>
      </c>
      <c r="B18" s="166">
        <v>517907053</v>
      </c>
      <c r="C18" s="166">
        <v>530157419</v>
      </c>
      <c r="D18" s="166">
        <v>551438144</v>
      </c>
      <c r="E18" s="166">
        <v>558429175</v>
      </c>
      <c r="F18" s="166">
        <v>561701316</v>
      </c>
      <c r="G18" s="166">
        <v>586362083</v>
      </c>
      <c r="H18" s="166">
        <v>610421267</v>
      </c>
      <c r="I18" s="166">
        <v>625415426</v>
      </c>
      <c r="J18" s="167">
        <v>688070716</v>
      </c>
      <c r="K18" s="167">
        <v>700333847</v>
      </c>
      <c r="L18" s="166">
        <v>738736484</v>
      </c>
      <c r="M18" s="167">
        <v>791009067.38170004</v>
      </c>
      <c r="N18" s="167"/>
      <c r="O18" s="167">
        <v>777131365</v>
      </c>
      <c r="P18" s="168">
        <v>797131249</v>
      </c>
      <c r="Q18" s="168">
        <v>833890277</v>
      </c>
      <c r="R18" s="168">
        <v>850527627</v>
      </c>
      <c r="S18" s="169">
        <v>861281338</v>
      </c>
      <c r="T18" s="168">
        <v>924563260</v>
      </c>
      <c r="U18" s="168">
        <v>932434352</v>
      </c>
      <c r="V18" s="169">
        <v>953247908</v>
      </c>
      <c r="W18" s="169">
        <v>982009558</v>
      </c>
      <c r="X18" s="168">
        <v>1004350346</v>
      </c>
      <c r="Y18" s="169">
        <v>999910202</v>
      </c>
      <c r="Z18" s="169">
        <v>1042298184</v>
      </c>
      <c r="AB18" s="169">
        <v>1021415433</v>
      </c>
      <c r="AC18" s="168">
        <v>1066215758</v>
      </c>
      <c r="AD18" s="168">
        <v>1148353814</v>
      </c>
      <c r="AE18" s="168">
        <v>1124379576</v>
      </c>
      <c r="AF18" s="169">
        <v>1129760789</v>
      </c>
      <c r="AG18" s="169">
        <v>1155107262</v>
      </c>
      <c r="AH18" s="168">
        <v>1208373274</v>
      </c>
      <c r="AI18" s="168">
        <v>1248684582</v>
      </c>
      <c r="AJ18" s="168">
        <v>1300874414</v>
      </c>
      <c r="AK18" s="168">
        <v>1305634433</v>
      </c>
      <c r="AL18" s="168">
        <v>1340365134</v>
      </c>
      <c r="AM18" s="168">
        <v>1390990909</v>
      </c>
      <c r="AO18" s="168">
        <v>1370047962</v>
      </c>
      <c r="AP18" s="168">
        <v>1394217645</v>
      </c>
      <c r="AQ18" s="168">
        <v>1449155073</v>
      </c>
      <c r="AR18" s="168">
        <v>1406316601</v>
      </c>
      <c r="AS18" s="168">
        <v>1399122708</v>
      </c>
      <c r="AT18" s="168">
        <v>1402576050</v>
      </c>
      <c r="AU18" s="168">
        <v>1433255683</v>
      </c>
      <c r="AV18" s="168">
        <v>1481656542</v>
      </c>
      <c r="AW18" s="168">
        <v>1499068262</v>
      </c>
      <c r="AX18" s="168">
        <v>1525761338</v>
      </c>
      <c r="AY18" s="168">
        <v>1571419903</v>
      </c>
      <c r="AZ18" s="168">
        <v>1636004294</v>
      </c>
      <c r="BB18" s="168">
        <v>1623949638</v>
      </c>
      <c r="BC18" s="168">
        <v>1669491827</v>
      </c>
      <c r="BD18" s="168">
        <v>1733918104</v>
      </c>
      <c r="BE18" s="168">
        <v>1756904877</v>
      </c>
      <c r="BF18" s="168">
        <v>1819959605</v>
      </c>
      <c r="BG18" s="168">
        <v>1842618193</v>
      </c>
      <c r="BH18" s="168">
        <v>1845626214</v>
      </c>
      <c r="BI18" s="168">
        <v>1924110782</v>
      </c>
      <c r="BJ18" s="168">
        <v>1984678626</v>
      </c>
      <c r="BK18" s="168">
        <v>2026592825</v>
      </c>
      <c r="BL18" s="168">
        <v>2062335789</v>
      </c>
      <c r="BM18" s="168">
        <v>2154194879</v>
      </c>
      <c r="BO18" s="168">
        <v>2033435830.8724253</v>
      </c>
      <c r="BP18" s="168">
        <v>2053684480.8709481</v>
      </c>
      <c r="BQ18" s="168">
        <v>2066505369.2226591</v>
      </c>
      <c r="BR18" s="168">
        <v>2158963376.8057103</v>
      </c>
      <c r="BS18" s="168">
        <v>2191139066.8167405</v>
      </c>
      <c r="BT18" s="168">
        <v>2276939447.3262691</v>
      </c>
      <c r="BU18" s="168">
        <v>2260538603.6882582</v>
      </c>
      <c r="BV18" s="168">
        <v>2305176970.1765947</v>
      </c>
      <c r="BW18" s="168">
        <v>2375656451.6375833</v>
      </c>
      <c r="BX18" s="168">
        <v>2382858262.6883469</v>
      </c>
      <c r="BY18" s="168">
        <v>2429595565.3749876</v>
      </c>
      <c r="BZ18" s="168">
        <v>2508360066.1416116</v>
      </c>
      <c r="CB18" s="168">
        <v>2531726933.7684541</v>
      </c>
      <c r="CC18" s="168">
        <v>2585327853.1748781</v>
      </c>
      <c r="CD18" s="168">
        <v>2614150167.7325544</v>
      </c>
      <c r="CE18" s="168">
        <v>2556148623.5219216</v>
      </c>
      <c r="CF18" s="168">
        <v>2632762205.5727119</v>
      </c>
      <c r="CG18" s="168">
        <v>2679515616.6300135</v>
      </c>
      <c r="CH18" s="168">
        <v>2651091948.9766011</v>
      </c>
      <c r="CI18" s="168">
        <v>2683787507.5508361</v>
      </c>
      <c r="CJ18" s="168">
        <v>2756608248.9985743</v>
      </c>
      <c r="CK18" s="168">
        <v>2748725486.4691687</v>
      </c>
      <c r="CL18" s="168">
        <v>2762842263.6363473</v>
      </c>
      <c r="CM18" s="168">
        <v>2989949144.8276215</v>
      </c>
      <c r="CO18" s="168">
        <f>+'[5]Summary of BS of  Banks '!AA$4</f>
        <v>2879887098.4192915</v>
      </c>
      <c r="CP18" s="168">
        <f>+'[5]Summary of BS of  Banks '!AB$4</f>
        <v>2869947501.4454398</v>
      </c>
      <c r="CQ18" s="168">
        <f>+'[5]Summary of BS of  Banks '!AC$4</f>
        <v>2969334558.2874193</v>
      </c>
      <c r="CR18" s="168">
        <f>+'[5]Summary of BS of  Banks '!AD$4</f>
        <v>2943230417.1109762</v>
      </c>
      <c r="CS18" s="168">
        <f>+'[5]Summary of BS of  Banks '!AE$4</f>
        <v>2955894659.0723305</v>
      </c>
      <c r="CT18" s="168">
        <f>+'[5]Summary of BS of  Banks '!AF$4</f>
        <v>2970555402.0089216</v>
      </c>
      <c r="CU18" s="168">
        <f>+'[5]Summary of BS of  Banks '!AG$4</f>
        <v>2989743433.0220079</v>
      </c>
      <c r="CV18" s="168">
        <f>+'[5]Summary of BS of  Banks '!AH$4</f>
        <v>2965429791.1047587</v>
      </c>
      <c r="CW18" s="168">
        <f>+'[5]Summary of BS of  Banks '!AI$4</f>
        <v>3012463743.3041511</v>
      </c>
      <c r="CX18" s="168">
        <f>+'[5]Summary of BS of  Banks '!AJ$4</f>
        <v>3034947462.0835652</v>
      </c>
      <c r="CY18" s="168">
        <f>+'[5]Summary of BS of  Banks '!AK$4</f>
        <v>3196632395.5019469</v>
      </c>
      <c r="CZ18" s="168">
        <f>+'[5]Summary of BS of  Banks '!AL$4</f>
        <v>3475316076.6488605</v>
      </c>
      <c r="DB18" s="168">
        <f>+'[5]Summary of BS of  Banks '!AM$4</f>
        <v>3429657346.1777892</v>
      </c>
      <c r="DC18" s="168">
        <f>+'[5]Summary of BS of  Banks '!AN$4</f>
        <v>3399536212.2038894</v>
      </c>
      <c r="DD18" s="168">
        <f>+'[5]Summary of BS of  Banks '!AO$4</f>
        <v>3332086831.2141199</v>
      </c>
      <c r="DE18" s="168">
        <f>+'[5]Summary of BS of  Banks '!AP$4</f>
        <v>3371265284.2304196</v>
      </c>
      <c r="DF18" s="168">
        <f>+'[5]Summary of BS of  Banks '!AQ$4</f>
        <v>3385244786.0405693</v>
      </c>
      <c r="DG18" s="168">
        <f>+'[5]Summary of BS of  Banks '!AR$4</f>
        <v>3318451832.9817796</v>
      </c>
      <c r="DH18" s="168">
        <f>+'[5]Summary of BS of  Banks '!AS$4</f>
        <v>3383360206.6889405</v>
      </c>
      <c r="DI18" s="168">
        <f>+'[5]Summary of BS of  Banks '!AT$4</f>
        <v>3376452438.2726994</v>
      </c>
      <c r="DJ18" s="168">
        <f>+'[5]Summary of BS of  Banks '!AU$4</f>
        <v>3376904135.3112898</v>
      </c>
      <c r="DK18" s="168">
        <f>+'[5]Summary of BS of  Banks '!AV$4</f>
        <v>3325227047.2403498</v>
      </c>
      <c r="DL18" s="168">
        <f>+'[5]Summary of BS of  Banks '!AW$4</f>
        <v>3386106376.0778499</v>
      </c>
      <c r="DM18" s="168">
        <f>+'[5]Summary of BS of  Banks '!AX$4</f>
        <v>3530142091.1112599</v>
      </c>
      <c r="DO18" s="168">
        <f>+'[5]Summary of BS of  Banks '!AY$4</f>
        <v>3519929204.2084894</v>
      </c>
      <c r="DP18" s="168">
        <f>+'[5]Summary of BS of  Banks '!AZ$4</f>
        <v>3573706823.2345805</v>
      </c>
      <c r="DQ18" s="168">
        <f>+'[5]Summary of BS of  Banks '!BA$4</f>
        <v>3585460773.7684803</v>
      </c>
      <c r="DR18" s="168">
        <f>+'[5]Summary of BS of  Banks '!BB$4</f>
        <v>3558186140.0564404</v>
      </c>
      <c r="DS18" s="168">
        <f>+'[5]Summary of BS of  Banks '!BC$4</f>
        <v>3520455898.8270001</v>
      </c>
      <c r="DT18" s="168">
        <f>+'[5]Summary of BS of  Banks '!BD$4</f>
        <v>3554490636.75945</v>
      </c>
      <c r="DU18" s="168">
        <f>+'[5]Summary of BS of  Banks '!BE$4</f>
        <v>3600212787.1295094</v>
      </c>
      <c r="DV18" s="168">
        <f>+'[5]Summary of BS of  Banks '!BF$4</f>
        <v>3604974548.5554495</v>
      </c>
      <c r="DW18" s="168">
        <f>+'[5]Summary of BS of  Banks '!BG$4</f>
        <v>3659834114.7279305</v>
      </c>
      <c r="DX18" s="168">
        <f>+'[5]Summary of BS of  Banks '!BH$4</f>
        <v>3720597920.4142294</v>
      </c>
      <c r="DY18" s="168">
        <f>+'[5]Summary of BS of  Banks '!BI$4</f>
        <v>3799405149.0564899</v>
      </c>
      <c r="DZ18" s="168">
        <f>+'[5]Summary of BS of  Banks '!BJ$4</f>
        <v>4093095729.7543797</v>
      </c>
      <c r="EB18" s="168">
        <f>+'[5]Summary of BS of  Banks '!BK$4</f>
        <v>3978124170.8379889</v>
      </c>
      <c r="EC18" s="168">
        <f>+'[5]Summary of BS of  Banks '!BL$4</f>
        <v>3984439838.7353592</v>
      </c>
      <c r="ED18" s="168">
        <f>+'[5]Summary of BS of  Banks '!BM$4</f>
        <v>4061864194.1777492</v>
      </c>
      <c r="EE18" s="168">
        <f>+'[5]Summary of BS of  Banks '!BN$4</f>
        <v>4025082466.3786502</v>
      </c>
      <c r="EF18" s="168">
        <f>+'[5]Summary of BS of  Banks '!BO$4</f>
        <v>4058121264.8916998</v>
      </c>
      <c r="EG18" s="168">
        <f>+'[5]Summary of BS of  Banks '!BP$4</f>
        <v>4149852243.6272697</v>
      </c>
      <c r="EH18" s="168">
        <v>4200605369.2852306</v>
      </c>
    </row>
    <row r="19" spans="1:144" s="168" customFormat="1" ht="12.75" customHeight="1">
      <c r="A19" s="300" t="s">
        <v>63</v>
      </c>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c r="BD19" s="300"/>
      <c r="BE19" s="300"/>
      <c r="BF19" s="300"/>
      <c r="BG19" s="300"/>
      <c r="BH19" s="300"/>
      <c r="BI19" s="300"/>
      <c r="BJ19" s="300"/>
      <c r="BK19" s="300"/>
      <c r="BL19" s="300"/>
      <c r="BM19" s="300"/>
      <c r="BN19" s="300"/>
      <c r="BO19" s="300"/>
      <c r="BP19" s="300"/>
      <c r="BQ19" s="300"/>
      <c r="BR19" s="300"/>
      <c r="BS19" s="300"/>
      <c r="BT19" s="300"/>
      <c r="BU19" s="300"/>
      <c r="BV19" s="300"/>
      <c r="BW19" s="300"/>
      <c r="BX19" s="300"/>
      <c r="BY19" s="300"/>
      <c r="BZ19" s="300"/>
      <c r="CA19" s="300"/>
      <c r="CB19" s="300"/>
      <c r="CC19" s="300"/>
      <c r="CD19" s="300"/>
      <c r="CE19" s="300"/>
      <c r="CF19" s="300"/>
      <c r="CG19" s="300"/>
      <c r="CH19" s="300"/>
      <c r="CI19" s="300"/>
      <c r="CJ19" s="300"/>
      <c r="CK19" s="300"/>
      <c r="CL19" s="300"/>
      <c r="CM19" s="300"/>
      <c r="CN19" s="300"/>
      <c r="CO19" s="300"/>
      <c r="CP19" s="300"/>
      <c r="CQ19" s="300"/>
      <c r="CR19" s="300"/>
      <c r="CS19" s="300"/>
      <c r="CT19" s="300"/>
      <c r="CU19" s="300"/>
      <c r="CV19" s="300"/>
      <c r="CW19" s="300"/>
      <c r="CX19" s="300"/>
      <c r="CY19" s="300"/>
      <c r="CZ19" s="300"/>
      <c r="DA19" s="300"/>
      <c r="DB19" s="300"/>
      <c r="DC19" s="300"/>
      <c r="DD19" s="300"/>
      <c r="DE19" s="300"/>
      <c r="DF19" s="300"/>
      <c r="DG19" s="300"/>
      <c r="DH19" s="300"/>
      <c r="DI19" s="300"/>
      <c r="DJ19" s="300"/>
      <c r="DK19" s="300"/>
      <c r="DL19" s="300"/>
      <c r="DM19" s="300"/>
      <c r="DN19" s="300"/>
      <c r="DO19" s="300"/>
      <c r="DP19" s="300"/>
      <c r="DQ19" s="300"/>
      <c r="DR19" s="300"/>
      <c r="DS19" s="300"/>
      <c r="DT19" s="300"/>
      <c r="DU19" s="300"/>
      <c r="DV19" s="300"/>
      <c r="DW19" s="300"/>
      <c r="DX19" s="300"/>
      <c r="DY19" s="300"/>
      <c r="DZ19" s="300"/>
      <c r="EA19" s="300"/>
      <c r="EB19" s="300"/>
      <c r="EC19" s="300"/>
      <c r="ED19" s="300"/>
      <c r="EE19" s="300"/>
      <c r="EF19" s="300"/>
      <c r="EG19" s="300"/>
      <c r="EH19" s="300"/>
      <c r="EI19" s="300"/>
      <c r="EJ19" s="300"/>
      <c r="EK19" s="300"/>
      <c r="EL19" s="300"/>
      <c r="EM19" s="300"/>
      <c r="EN19" s="300"/>
    </row>
    <row r="20" spans="1:144" s="168" customFormat="1" ht="6" customHeight="1">
      <c r="A20" s="171"/>
      <c r="B20" s="172"/>
      <c r="C20" s="283"/>
      <c r="D20" s="283"/>
      <c r="E20" s="283"/>
      <c r="F20" s="283"/>
      <c r="G20" s="283"/>
      <c r="H20" s="283"/>
      <c r="I20" s="283"/>
      <c r="J20" s="283"/>
      <c r="K20" s="283"/>
      <c r="L20" s="283"/>
      <c r="M20" s="283"/>
      <c r="N20" s="283"/>
    </row>
    <row r="21" spans="1:144" s="168" customFormat="1" ht="12.75" customHeight="1">
      <c r="A21" s="170" t="s">
        <v>53</v>
      </c>
      <c r="B21" s="174">
        <f>B18/Real!N16/1000</f>
        <v>1441.2329288994015</v>
      </c>
      <c r="C21" s="174">
        <f>C18/Real!O16/1000</f>
        <v>1499.2715675461668</v>
      </c>
      <c r="D21" s="174">
        <f>D18/Real!P16/1000</f>
        <v>1522.7629414851021</v>
      </c>
      <c r="E21" s="174">
        <f>E18/Real!Q16/1000</f>
        <v>1564.3588396784041</v>
      </c>
      <c r="F21" s="174">
        <f>F18/Real!R16/1000</f>
        <v>1614.6874292120619</v>
      </c>
      <c r="G21" s="174">
        <f>G18/Real!S16/1000</f>
        <v>1719.7890687784134</v>
      </c>
      <c r="H21" s="174">
        <f>H18/Real!T16/1000</f>
        <v>1810.3721068865293</v>
      </c>
      <c r="I21" s="174">
        <f>I18/Real!U16/1000</f>
        <v>1877.5605703992794</v>
      </c>
      <c r="J21" s="166">
        <f>J18/Real!V16/1000</f>
        <v>2049.1102057833764</v>
      </c>
      <c r="K21" s="166">
        <f>K18/Real!W16/1000</f>
        <v>2154.2768064228371</v>
      </c>
      <c r="L21" s="166">
        <f>L18/Real!X16/1000</f>
        <v>2419.4690466053121</v>
      </c>
      <c r="M21" s="166">
        <f>M18/Real!Y16/1000</f>
        <v>2600.1218440000657</v>
      </c>
      <c r="N21" s="166"/>
      <c r="O21" s="166">
        <f>O18/Real!AA16/1000</f>
        <v>2532.6924944596531</v>
      </c>
      <c r="P21" s="166">
        <f>P18/Real!AB16/1000</f>
        <v>2589.6860043533347</v>
      </c>
      <c r="Q21" s="166">
        <f>Q18/Real!AC16/1000</f>
        <v>2714.0448397070791</v>
      </c>
      <c r="R21" s="166">
        <f>R18/Real!AD16/1000</f>
        <v>2772.0736164526434</v>
      </c>
      <c r="S21" s="166">
        <f>S18/Real!AE16/1000</f>
        <v>2819.0669612463998</v>
      </c>
      <c r="T21" s="166">
        <f>T18/Real!AF16/1000</f>
        <v>3054.8926482735833</v>
      </c>
      <c r="U21" s="166">
        <f>U18/Real!AG16/1000</f>
        <v>3098.097325314815</v>
      </c>
      <c r="V21" s="166">
        <f>V18/Real!AH16/1000</f>
        <v>3142.6100550555502</v>
      </c>
      <c r="W21" s="166">
        <f>W18/Real!AI16/1000</f>
        <v>3250.3957301734413</v>
      </c>
      <c r="X21" s="166">
        <f>X18/Real!AJ16/1000</f>
        <v>3291.8726515896424</v>
      </c>
      <c r="Y21" s="166">
        <f>Y18/Real!AK16/1000</f>
        <v>3273.8858031563095</v>
      </c>
      <c r="Z21" s="166">
        <f>Z18/Real!AL16/1000</f>
        <v>3398.0966452580442</v>
      </c>
      <c r="AB21" s="166">
        <f>AB18/Real!AN16/1000</f>
        <v>3346.5988434192855</v>
      </c>
      <c r="AC21" s="166">
        <f>AC18/Real!AO16/1000</f>
        <v>3486.3020566981659</v>
      </c>
      <c r="AD21" s="166">
        <f>AD18/Real!AP16/1000</f>
        <v>3122.4782173641138</v>
      </c>
      <c r="AE21" s="166">
        <f>AE18/Real!AQ16/1000</f>
        <v>3031.4898247506071</v>
      </c>
      <c r="AF21" s="166">
        <f>AF18/Real!AR16/1000</f>
        <v>3051.0985983579999</v>
      </c>
      <c r="AG21" s="166">
        <f>AG18/Real!AS16/1000</f>
        <v>3208.0966005665719</v>
      </c>
      <c r="AH21" s="166">
        <f>AH18/Real!AT16/1000</f>
        <v>3262.8753955824382</v>
      </c>
      <c r="AI21" s="166">
        <f>AI18/Real!AU16/1000</f>
        <v>3330.802587425645</v>
      </c>
      <c r="AJ21" s="166">
        <f>AJ18/Real!AV16/1000</f>
        <v>3385.2505258786878</v>
      </c>
      <c r="AK21" s="166">
        <f>AK18/Real!AW16/1000</f>
        <v>3379.2334627429668</v>
      </c>
      <c r="AL21" s="166">
        <f>AL18/Real!AX16/1000</f>
        <v>3474.6179855778473</v>
      </c>
      <c r="AM21" s="166">
        <f>AM18/Real!AY16/1000</f>
        <v>3680.9413030246897</v>
      </c>
      <c r="AN21" s="166"/>
      <c r="AO21" s="166">
        <f>AO18/Real!BA16/1000</f>
        <v>3637.0701691045688</v>
      </c>
      <c r="AP21" s="166">
        <f>AP18/Real!BB16/1000</f>
        <v>3624.6840980829711</v>
      </c>
      <c r="AQ21" s="166">
        <f>AQ18/Real!BC16/1000</f>
        <v>3618.3647265917602</v>
      </c>
      <c r="AR21" s="166">
        <f>AR18/Real!BD16/1000</f>
        <v>3654.1674902550353</v>
      </c>
      <c r="AS21" s="166">
        <f>AS18/Real!BE16/1000</f>
        <v>3691.1956835212845</v>
      </c>
      <c r="AT21" s="166">
        <f>AT18/Real!BF16/1000</f>
        <v>3816.5252407177318</v>
      </c>
      <c r="AU21" s="166">
        <f>AU18/Real!BG16/1000</f>
        <v>3871.9713969045401</v>
      </c>
      <c r="AV21" s="166">
        <f>AV18/Real!BH16/1000</f>
        <v>4084.9036984544864</v>
      </c>
      <c r="AW21" s="166">
        <f>AW18/Real!BI16/1000</f>
        <v>4148.9348924328942</v>
      </c>
      <c r="AX21" s="166">
        <f>AX18/Real!BJ16/1000</f>
        <v>4259.3949116272424</v>
      </c>
      <c r="AY21" s="166">
        <f>AY18/Real!BK16/1000</f>
        <v>4376.4076485909845</v>
      </c>
      <c r="AZ21" s="166">
        <f>AZ18/Real!BL16/1000</f>
        <v>4501.4536711461051</v>
      </c>
      <c r="BA21" s="166"/>
      <c r="BB21" s="166">
        <f>BB18/Real!BN16/1000</f>
        <v>4473.4943761466775</v>
      </c>
      <c r="BC21" s="166">
        <f>BC18/Real!BO16/1000</f>
        <v>4544.3917198892777</v>
      </c>
      <c r="BD21" s="166">
        <f>BD18/Real!BP16/1000</f>
        <v>4690.336019597441</v>
      </c>
      <c r="BE21" s="166">
        <f>BE18/Real!BQ16/1000</f>
        <v>4744.8844218838158</v>
      </c>
      <c r="BF21" s="166">
        <f>BF18/Real!BR16/1000</f>
        <v>4830.2507092297001</v>
      </c>
      <c r="BG21" s="166">
        <f>BG18/Real!BS16/1000</f>
        <v>4995.3859351030505</v>
      </c>
      <c r="BH21" s="166">
        <f>BH18/Real!BT16/1000</f>
        <v>5077.6224832275057</v>
      </c>
      <c r="BI21" s="166">
        <f>BI18/Real!BU16/1000</f>
        <v>5234.9178452213773</v>
      </c>
      <c r="BJ21" s="166">
        <f>BJ18/Real!BV16/1000</f>
        <v>5334.3812554491788</v>
      </c>
      <c r="BK21" s="166">
        <f>BK18/Real!BW16/1000</f>
        <v>5338.8653521555862</v>
      </c>
      <c r="BL21" s="166">
        <f>BL18/Real!BX16/1000</f>
        <v>5401.6832525127629</v>
      </c>
      <c r="BM21" s="166">
        <f>BM18/Real!BY16/1000</f>
        <v>5584.0918128093481</v>
      </c>
      <c r="BN21" s="166"/>
      <c r="BO21" s="166">
        <f>BO18/Real!CA16/1000</f>
        <v>5256.9973273113956</v>
      </c>
      <c r="BP21" s="166">
        <f>BP18/Real!CB16/1000</f>
        <v>5282.7718841713568</v>
      </c>
      <c r="BQ21" s="166">
        <f>BQ18/Real!CC16/1000</f>
        <v>5290.0265156328514</v>
      </c>
      <c r="BR21" s="166">
        <f>BR18/Real!CD16/1000</f>
        <v>5505.348801476337</v>
      </c>
      <c r="BS21" s="166">
        <f>BS18/Real!CE16/1000</f>
        <v>5400.3887024418218</v>
      </c>
      <c r="BT21" s="166">
        <f>BT18/Real!CF16/1000</f>
        <v>5447.1263531569739</v>
      </c>
      <c r="BU21" s="166">
        <f>BU18/Real!CG16/1000</f>
        <v>5546.006302534598</v>
      </c>
      <c r="BV21" s="166">
        <f>BV18/Real!CH16/1000</f>
        <v>5641.785090620413</v>
      </c>
      <c r="BW21" s="166">
        <f>BW18/Real!CI16/1000</f>
        <v>5847.7581289315522</v>
      </c>
      <c r="BX21" s="166">
        <f>BX18/Real!CJ16/1000</f>
        <v>5876.8330133423451</v>
      </c>
      <c r="BY21" s="166">
        <f>BY18/Real!CK16/1000</f>
        <v>5994.3332784744061</v>
      </c>
      <c r="BZ21" s="166">
        <f>BZ18/Real!CL16/1000</f>
        <v>6215.1991251530353</v>
      </c>
      <c r="CA21" s="166"/>
      <c r="CB21" s="166">
        <f>CB18/Real!CN16/1000</f>
        <v>6225.9908349259158</v>
      </c>
      <c r="CC21" s="166">
        <f>CC18/Real!CO16/1000</f>
        <v>6317.6967234614094</v>
      </c>
      <c r="CD21" s="166">
        <f>CD18/Real!CP16/1000</f>
        <v>6245.2820673050655</v>
      </c>
      <c r="CE21" s="166">
        <f>CE18/Real!CQ16/1000</f>
        <v>6219.6423755947289</v>
      </c>
      <c r="CF21" s="166">
        <f>CF18/Real!CR16/1000</f>
        <v>6310.249282327577</v>
      </c>
      <c r="CG21" s="166">
        <f>CG18/Real!CS16/1000</f>
        <v>6536.998332837311</v>
      </c>
      <c r="CH21" s="166">
        <f>CH18/Real!CT16/1000</f>
        <v>6470.0230603455793</v>
      </c>
      <c r="CI21" s="166">
        <f>CI18/Real!CU16/1000</f>
        <v>6606.4087917261613</v>
      </c>
      <c r="CJ21" s="166">
        <f>CJ18/Real!CV16/1000</f>
        <v>6801.5698610836043</v>
      </c>
      <c r="CK21" s="166">
        <f>CK18/Real!CW16/1000</f>
        <v>6786.4738080368579</v>
      </c>
      <c r="CL21" s="166">
        <f>CL18/Real!CX16/1000</f>
        <v>6840.2422906992824</v>
      </c>
      <c r="CM21" s="166">
        <f>CM18/Real!CY16/1000</f>
        <v>7370.9425718065804</v>
      </c>
      <c r="CO21" s="166">
        <f>CO18/Real!DA16/1000</f>
        <v>7056.644283206223</v>
      </c>
      <c r="CP21" s="166">
        <f>CP18/Real!DB16/1000</f>
        <v>6946.5024844377103</v>
      </c>
      <c r="CQ21" s="166">
        <f>CQ18/Real!DC16/1000</f>
        <v>7184.2794955055997</v>
      </c>
      <c r="CR21" s="166">
        <f>CR18/Real!DD16/1000</f>
        <v>7116.2997584829818</v>
      </c>
      <c r="CS21" s="166">
        <f>CS18/Real!DE16/1000</f>
        <v>7152.2809211002968</v>
      </c>
      <c r="CT21" s="166">
        <f>CT18/Real!DF16/1000</f>
        <v>7293.6441809293901</v>
      </c>
      <c r="CU21" s="166">
        <f>CU18/Real!DG16/1000</f>
        <v>7363.7187089530016</v>
      </c>
      <c r="CV21" s="166">
        <f>CV18/Real!DH16/1000</f>
        <v>7211.1222213961983</v>
      </c>
      <c r="CW21" s="166">
        <f>CW18/Real!DI16/1000</f>
        <v>7390.73538592775</v>
      </c>
      <c r="CX21" s="166">
        <f>CX18/Real!DJ16/1000</f>
        <v>7379.632014014408</v>
      </c>
      <c r="CY21" s="166">
        <f>CY18/Real!DK16/1000</f>
        <v>7370.77727294138</v>
      </c>
      <c r="CZ21" s="166">
        <f>CZ18/Real!DL16/1000</f>
        <v>7316.9170192830288</v>
      </c>
      <c r="DB21" s="166">
        <f>DB18/Real!DN16/1000</f>
        <v>7193.9785756970032</v>
      </c>
      <c r="DC21" s="166">
        <f>DC18/Real!DO16/1000</f>
        <v>7100.7106111702924</v>
      </c>
      <c r="DD21" s="166">
        <f>DD18/Real!DP16/1000</f>
        <v>7071.3415063647208</v>
      </c>
      <c r="DE21" s="166">
        <f>DE18/Real!DQ16/1000</f>
        <v>7076.2463461450398</v>
      </c>
      <c r="DF21" s="166">
        <f>DF18/Real!DR16/1000</f>
        <v>7074.1103900208327</v>
      </c>
      <c r="DG21" s="166">
        <f>DG18/Real!DS16/1000</f>
        <v>7022.7325947173294</v>
      </c>
      <c r="DH21" s="166">
        <f>DH18/Real!DT16/1000</f>
        <v>7073.8677511320338</v>
      </c>
      <c r="DI21" s="166">
        <f>DI18/Real!DU16/1000</f>
        <v>6993.915194135302</v>
      </c>
      <c r="DJ21" s="166">
        <f>DJ18/Real!DV16/1000</f>
        <v>7128.6317268187076</v>
      </c>
      <c r="DK21" s="166">
        <f>DK18/Real!DW16/1000</f>
        <v>7033.3496493936927</v>
      </c>
      <c r="DL21" s="166">
        <f>DL18/Real!DX16/1000</f>
        <v>7013.3310744969031</v>
      </c>
      <c r="DM21" s="166">
        <f>DM18/Real!DY16/1000</f>
        <v>7297.4513511343876</v>
      </c>
      <c r="DO21" s="166">
        <f>DO18/Real!EA16/1000</f>
        <v>7201.9011850813085</v>
      </c>
      <c r="DP21" s="166">
        <f>DP18/Real!EB16/1000</f>
        <v>7273.3887394361964</v>
      </c>
      <c r="DQ21" s="166">
        <f>DQ18/Real!EC16/1000</f>
        <v>7457.4362481925173</v>
      </c>
      <c r="DR21" s="166">
        <f>DR18/Real!ED16/1000</f>
        <v>7434.4166232557627</v>
      </c>
      <c r="DS21" s="166">
        <f>DS18/Real!EE16/1000</f>
        <v>7371.9105828227412</v>
      </c>
      <c r="DT21" s="166">
        <f>DT18/Real!EF16/1000</f>
        <v>7456.7647829979232</v>
      </c>
      <c r="DU21" s="166">
        <f>DU18/Real!EG16/1000</f>
        <v>7561.4071516802333</v>
      </c>
      <c r="DV21" s="166">
        <f>DV18/Real!EH16/1000</f>
        <v>7593.4166372942591</v>
      </c>
      <c r="DW21" s="166">
        <f>DW18/Real!EI16/1000</f>
        <v>7713.6831655522719</v>
      </c>
      <c r="DX21" s="166">
        <f>DX18/Real!EJ16/1000</f>
        <v>7830.5297815680206</v>
      </c>
      <c r="DY21" s="166">
        <f>DY18/Real!EK16/1000</f>
        <v>7912.1306727540396</v>
      </c>
      <c r="DZ21" s="166">
        <f>DZ18/Real!EL16/1000</f>
        <v>8457.8578537719131</v>
      </c>
      <c r="EA21" s="166"/>
      <c r="EB21" s="166">
        <f>EB18/Real!EN16/1000</f>
        <v>8177.0281003864111</v>
      </c>
      <c r="EC21" s="166">
        <f>EC18/Real!EO16/1000</f>
        <v>8188.4951164951171</v>
      </c>
      <c r="ED21" s="166">
        <f>ED18/Real!EP16/1000</f>
        <v>8401.8289257994602</v>
      </c>
      <c r="EE21" s="166">
        <f>EE18/Real!EQ16/1000</f>
        <v>8304.6184418144967</v>
      </c>
      <c r="EF21" s="166">
        <f>EF18/Real!ER16/1000</f>
        <v>8419.3387238416999</v>
      </c>
      <c r="EG21" s="166">
        <f>EG18/Real!ES16/1000</f>
        <v>8637.0683781032531</v>
      </c>
      <c r="EH21" s="166">
        <f>EH18/Real!ET16/1000</f>
        <v>8781.2638374555372</v>
      </c>
    </row>
    <row r="22" spans="1:144" s="168" customFormat="1">
      <c r="A22" s="170" t="s">
        <v>52</v>
      </c>
      <c r="B22" s="174">
        <v>9.8699999999999992</v>
      </c>
      <c r="C22" s="174">
        <v>12.43</v>
      </c>
      <c r="D22" s="174">
        <v>-24.292000000000002</v>
      </c>
      <c r="E22" s="174">
        <v>-13.91</v>
      </c>
      <c r="F22" s="174">
        <v>11.23</v>
      </c>
      <c r="G22" s="174">
        <v>65.244</v>
      </c>
      <c r="H22" s="174">
        <v>54.55</v>
      </c>
      <c r="I22" s="174">
        <v>10.85</v>
      </c>
      <c r="J22" s="166">
        <v>5.14</v>
      </c>
      <c r="K22" s="166">
        <f>(37275000/1000)/1000</f>
        <v>37.274999999999999</v>
      </c>
      <c r="L22" s="166">
        <v>172.8</v>
      </c>
      <c r="M22" s="166">
        <v>24.975000000000001</v>
      </c>
      <c r="N22" s="166"/>
      <c r="O22" s="168">
        <v>-13.2</v>
      </c>
      <c r="P22" s="168">
        <v>-4.5</v>
      </c>
      <c r="Q22" s="168">
        <v>-60.59</v>
      </c>
      <c r="R22" s="168">
        <v>-34.42</v>
      </c>
      <c r="S22" s="168">
        <v>-8.85</v>
      </c>
      <c r="T22" s="168">
        <v>12.8</v>
      </c>
      <c r="U22" s="168">
        <v>18</v>
      </c>
      <c r="V22" s="168">
        <v>17.100000000000001</v>
      </c>
      <c r="W22" s="168">
        <v>0</v>
      </c>
      <c r="X22" s="168">
        <v>-62.45</v>
      </c>
      <c r="Y22" s="168">
        <v>-43.1</v>
      </c>
      <c r="Z22" s="168">
        <v>-185.41499999999999</v>
      </c>
      <c r="AB22" s="168">
        <v>-148.72999999999999</v>
      </c>
      <c r="AC22" s="168">
        <v>-251.47800000000001</v>
      </c>
      <c r="AD22" s="168">
        <v>-38.491999999999997</v>
      </c>
      <c r="AE22" s="168">
        <v>-30.4</v>
      </c>
      <c r="AF22" s="168">
        <v>0</v>
      </c>
      <c r="AG22" s="168">
        <v>0</v>
      </c>
      <c r="AH22" s="168">
        <v>0</v>
      </c>
      <c r="AI22" s="168">
        <v>0</v>
      </c>
      <c r="AJ22" s="168">
        <v>-98.025000000000006</v>
      </c>
      <c r="AK22" s="168">
        <v>-6.84</v>
      </c>
      <c r="AL22" s="168">
        <v>-56.3</v>
      </c>
      <c r="AM22" s="168">
        <v>-94.2</v>
      </c>
      <c r="AO22" s="168">
        <v>-40.869999999999997</v>
      </c>
      <c r="AP22" s="168">
        <v>-27.79</v>
      </c>
      <c r="AQ22" s="168">
        <v>-55.942999999999998</v>
      </c>
      <c r="AR22" s="168">
        <v>-4.83</v>
      </c>
      <c r="AS22" s="168">
        <v>7.2000000000000011</v>
      </c>
      <c r="AT22" s="168">
        <v>41.1</v>
      </c>
      <c r="AU22" s="168">
        <v>3.05</v>
      </c>
      <c r="AV22" s="168">
        <v>10.55</v>
      </c>
      <c r="AW22" s="168">
        <v>9.5</v>
      </c>
      <c r="AX22" s="168">
        <v>24.45</v>
      </c>
      <c r="AY22" s="168">
        <v>-6.02</v>
      </c>
      <c r="AZ22" s="168">
        <v>-29.81</v>
      </c>
      <c r="BB22" s="168">
        <v>-12.83</v>
      </c>
      <c r="BC22" s="168">
        <v>-9.3800000000000008</v>
      </c>
      <c r="BD22" s="168">
        <v>-18.73</v>
      </c>
      <c r="BE22" s="168">
        <v>-30.675000000000001</v>
      </c>
      <c r="BF22" s="168">
        <v>-13.7</v>
      </c>
      <c r="BG22" s="168">
        <v>1.65</v>
      </c>
      <c r="BH22" s="168">
        <v>24.43</v>
      </c>
      <c r="BI22" s="168">
        <v>-1.1000000000000001</v>
      </c>
      <c r="BJ22" s="168">
        <v>-5.9349999999999996</v>
      </c>
      <c r="BK22" s="168">
        <v>-15.05</v>
      </c>
      <c r="BL22" s="168">
        <v>-11.75</v>
      </c>
      <c r="BM22" s="168">
        <v>-7.05</v>
      </c>
      <c r="BO22" s="168">
        <v>-14.1</v>
      </c>
      <c r="BP22" s="168">
        <v>-14.9</v>
      </c>
      <c r="BQ22" s="168">
        <v>-7.95</v>
      </c>
      <c r="BR22" s="168">
        <v>-15.28</v>
      </c>
      <c r="BS22" s="168">
        <v>-51.81</v>
      </c>
      <c r="BT22" s="168">
        <v>-27.13</v>
      </c>
      <c r="BU22" s="168">
        <v>11.8</v>
      </c>
      <c r="BV22" s="168">
        <v>7.15</v>
      </c>
      <c r="BW22" s="168">
        <v>16.95</v>
      </c>
      <c r="BX22" s="168">
        <v>4.5999999999999996</v>
      </c>
      <c r="BY22" s="168">
        <v>3.8</v>
      </c>
      <c r="BZ22" s="168">
        <v>21.47</v>
      </c>
      <c r="CB22" s="168">
        <v>0.5</v>
      </c>
      <c r="CC22" s="168">
        <v>0</v>
      </c>
      <c r="CD22" s="168">
        <v>-44.8</v>
      </c>
      <c r="CE22" s="168">
        <v>7.73</v>
      </c>
      <c r="CF22" s="168">
        <v>0.5</v>
      </c>
      <c r="CG22" s="168">
        <v>12.4</v>
      </c>
      <c r="CH22" s="168">
        <v>4.2</v>
      </c>
      <c r="CI22" s="168">
        <v>39</v>
      </c>
      <c r="CJ22" s="168">
        <v>15.9</v>
      </c>
      <c r="CK22" s="168">
        <v>3</v>
      </c>
      <c r="CL22" s="168">
        <v>24.6</v>
      </c>
      <c r="CM22" s="168">
        <v>9.1999999999999993</v>
      </c>
      <c r="CO22" s="168">
        <v>-7.1</v>
      </c>
      <c r="CP22" s="168">
        <v>-61.5</v>
      </c>
      <c r="CQ22" s="168">
        <v>-64.3</v>
      </c>
      <c r="CR22" s="168">
        <v>-3.1</v>
      </c>
      <c r="CS22" s="168">
        <v>0</v>
      </c>
      <c r="CT22" s="168">
        <v>20.2</v>
      </c>
      <c r="CU22" s="168">
        <v>19.899999999999999</v>
      </c>
      <c r="CV22" s="168">
        <v>-3.6</v>
      </c>
      <c r="CW22" s="168">
        <v>2</v>
      </c>
      <c r="CX22" s="168">
        <v>0</v>
      </c>
      <c r="CY22" s="168">
        <v>-93.8</v>
      </c>
      <c r="CZ22" s="168">
        <v>-118.7</v>
      </c>
      <c r="DB22" s="168">
        <v>-84.7</v>
      </c>
      <c r="DC22" s="168">
        <v>-56</v>
      </c>
      <c r="DD22" s="168">
        <v>-8.9</v>
      </c>
      <c r="DE22" s="168">
        <v>3.6</v>
      </c>
      <c r="DF22" s="168">
        <v>-15</v>
      </c>
      <c r="DG22" s="168">
        <v>36.43</v>
      </c>
      <c r="DH22" s="168">
        <v>0</v>
      </c>
      <c r="DI22" s="168">
        <v>-95</v>
      </c>
      <c r="DJ22" s="168">
        <v>13</v>
      </c>
      <c r="DK22" s="168">
        <v>0</v>
      </c>
      <c r="DL22" s="168">
        <v>-19.2</v>
      </c>
      <c r="DM22" s="168">
        <v>-20.8</v>
      </c>
      <c r="DO22" s="168">
        <v>-53.1</v>
      </c>
      <c r="DP22" s="168">
        <v>-41.5</v>
      </c>
      <c r="DQ22" s="168">
        <v>0</v>
      </c>
      <c r="DR22" s="168">
        <v>2.4</v>
      </c>
      <c r="DS22" s="168">
        <v>0</v>
      </c>
      <c r="DT22" s="168">
        <v>50.2</v>
      </c>
      <c r="DU22" s="168">
        <v>0</v>
      </c>
      <c r="DV22" s="168">
        <v>19.8</v>
      </c>
      <c r="DW22" s="168">
        <v>28.8</v>
      </c>
      <c r="DX22" s="168">
        <v>50.8</v>
      </c>
      <c r="DY22" s="168">
        <v>-13.1</v>
      </c>
      <c r="DZ22" s="168">
        <v>-15</v>
      </c>
      <c r="EB22" s="168">
        <v>-15</v>
      </c>
      <c r="EC22" s="168">
        <v>0</v>
      </c>
      <c r="ED22" s="168">
        <v>0</v>
      </c>
      <c r="EE22" s="168">
        <v>0</v>
      </c>
      <c r="EF22" s="168">
        <v>0</v>
      </c>
      <c r="EG22" s="168">
        <v>11.5</v>
      </c>
      <c r="EH22" s="168">
        <v>51.5</v>
      </c>
    </row>
    <row r="23" spans="1:144" s="168" customFormat="1" ht="6" customHeight="1">
      <c r="A23" s="175"/>
      <c r="B23" s="174"/>
      <c r="C23" s="174"/>
      <c r="D23" s="174"/>
      <c r="E23" s="174"/>
      <c r="F23" s="174"/>
      <c r="G23" s="174"/>
      <c r="H23" s="174"/>
      <c r="I23" s="174"/>
      <c r="J23" s="166"/>
      <c r="K23" s="166"/>
      <c r="L23" s="166"/>
      <c r="M23" s="166"/>
      <c r="N23" s="166"/>
    </row>
    <row r="24" spans="1:144" s="168" customFormat="1" ht="12.75" customHeight="1">
      <c r="A24" s="303" t="s">
        <v>62</v>
      </c>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3"/>
      <c r="BJ24" s="303"/>
      <c r="BK24" s="303"/>
      <c r="BL24" s="303"/>
      <c r="BM24" s="303"/>
      <c r="BN24" s="303"/>
      <c r="BO24" s="303"/>
      <c r="BP24" s="303"/>
      <c r="BQ24" s="303"/>
      <c r="BR24" s="303"/>
      <c r="BS24" s="303"/>
      <c r="BT24" s="303"/>
      <c r="BU24" s="303"/>
      <c r="BV24" s="303"/>
      <c r="BW24" s="303"/>
      <c r="BX24" s="303"/>
      <c r="BY24" s="303"/>
      <c r="BZ24" s="303"/>
      <c r="CA24" s="303"/>
      <c r="CB24" s="303"/>
      <c r="CC24" s="303"/>
      <c r="CD24" s="303"/>
      <c r="CE24" s="303"/>
      <c r="CF24" s="303"/>
      <c r="CG24" s="303"/>
      <c r="CH24" s="303"/>
      <c r="CI24" s="303"/>
      <c r="CJ24" s="303"/>
      <c r="CK24" s="303"/>
      <c r="CL24" s="303"/>
      <c r="CM24" s="303"/>
      <c r="CN24" s="303"/>
      <c r="CO24" s="303"/>
      <c r="CP24" s="303"/>
      <c r="CQ24" s="303"/>
      <c r="CR24" s="303"/>
      <c r="CS24" s="303"/>
      <c r="CT24" s="303"/>
      <c r="CU24" s="303"/>
      <c r="CV24" s="303"/>
      <c r="CW24" s="303"/>
      <c r="CX24" s="303"/>
      <c r="CY24" s="303"/>
      <c r="CZ24" s="303"/>
      <c r="DA24" s="303"/>
      <c r="DB24" s="303"/>
      <c r="DC24" s="303"/>
      <c r="DD24" s="303"/>
      <c r="DE24" s="303"/>
      <c r="DF24" s="303"/>
      <c r="DG24" s="303"/>
      <c r="DH24" s="303"/>
      <c r="DI24" s="303"/>
      <c r="DJ24" s="303"/>
      <c r="DK24" s="303"/>
      <c r="DL24" s="303"/>
      <c r="DM24" s="303"/>
      <c r="DN24" s="303"/>
      <c r="DO24" s="303"/>
      <c r="DP24" s="303"/>
      <c r="DQ24" s="303"/>
      <c r="DR24" s="303"/>
      <c r="DS24" s="303"/>
      <c r="DT24" s="303"/>
      <c r="DU24" s="303"/>
      <c r="DV24" s="303"/>
      <c r="DW24" s="303"/>
      <c r="DX24" s="303"/>
      <c r="DY24" s="303"/>
      <c r="DZ24" s="303"/>
      <c r="EA24" s="303"/>
      <c r="EB24" s="303"/>
      <c r="EC24" s="303"/>
      <c r="ED24" s="303"/>
      <c r="EE24" s="303"/>
      <c r="EF24" s="303"/>
      <c r="EG24" s="303"/>
      <c r="EH24" s="303"/>
      <c r="EI24" s="303"/>
      <c r="EJ24" s="303"/>
      <c r="EK24" s="303"/>
      <c r="EL24" s="303"/>
      <c r="EM24" s="303"/>
      <c r="EN24" s="303"/>
    </row>
    <row r="25" spans="1:144" ht="6" customHeight="1">
      <c r="A25" s="171"/>
      <c r="B25" s="172"/>
      <c r="C25" s="173"/>
      <c r="D25" s="173"/>
      <c r="E25" s="173"/>
      <c r="F25" s="173"/>
      <c r="G25" s="173"/>
      <c r="H25" s="173"/>
      <c r="I25" s="173"/>
      <c r="J25" s="173"/>
      <c r="K25" s="173"/>
      <c r="L25" s="173"/>
      <c r="M25" s="173"/>
      <c r="N25" s="173"/>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8"/>
      <c r="BX25" s="168"/>
      <c r="BY25" s="168"/>
      <c r="BZ25" s="168"/>
      <c r="CA25" s="168"/>
      <c r="CB25" s="168"/>
      <c r="CC25" s="168"/>
      <c r="CD25" s="168"/>
      <c r="CE25" s="168"/>
      <c r="CF25" s="168"/>
      <c r="CG25" s="168"/>
      <c r="CH25" s="168"/>
      <c r="CI25" s="168"/>
      <c r="CJ25" s="168"/>
      <c r="CK25" s="168"/>
      <c r="DO25" s="54"/>
      <c r="DP25" s="54"/>
      <c r="DQ25" s="54"/>
      <c r="DR25" s="54"/>
    </row>
    <row r="26" spans="1:144">
      <c r="A26" s="91" t="s">
        <v>35</v>
      </c>
      <c r="B26" s="40">
        <v>4.75</v>
      </c>
      <c r="C26" s="40">
        <v>4.75</v>
      </c>
      <c r="D26" s="40">
        <v>4.75</v>
      </c>
      <c r="E26" s="40">
        <v>4.5</v>
      </c>
      <c r="F26" s="40">
        <v>4.5</v>
      </c>
      <c r="G26" s="40">
        <v>4.5</v>
      </c>
      <c r="H26" s="40">
        <v>4.75</v>
      </c>
      <c r="I26" s="40">
        <v>4.75</v>
      </c>
      <c r="J26" s="39">
        <v>4.75</v>
      </c>
      <c r="K26" s="39">
        <v>5</v>
      </c>
      <c r="L26" s="42">
        <v>5.25</v>
      </c>
      <c r="M26" s="42">
        <v>5.75</v>
      </c>
      <c r="N26" s="42"/>
      <c r="O26" s="54">
        <v>5.75</v>
      </c>
      <c r="P26" s="53">
        <v>6</v>
      </c>
      <c r="Q26" s="54">
        <v>6.25</v>
      </c>
      <c r="R26" s="54">
        <v>6.5</v>
      </c>
      <c r="S26" s="54">
        <v>6.75</v>
      </c>
      <c r="T26" s="53">
        <v>7</v>
      </c>
      <c r="U26" s="54">
        <v>7.25</v>
      </c>
      <c r="V26" s="53">
        <v>7.5</v>
      </c>
      <c r="W26" s="54">
        <v>7.75</v>
      </c>
      <c r="X26" s="54">
        <v>7.75</v>
      </c>
      <c r="Y26" s="54">
        <v>7.75</v>
      </c>
      <c r="Z26" s="54">
        <v>7.25</v>
      </c>
      <c r="AB26" s="53">
        <v>7</v>
      </c>
      <c r="AC26" s="54">
        <v>6.75</v>
      </c>
      <c r="AD26" s="54">
        <v>7.75</v>
      </c>
      <c r="AE26" s="53">
        <v>7.5</v>
      </c>
      <c r="AF26" s="53">
        <f>(7.25+6.25)/2</f>
        <v>6.75</v>
      </c>
      <c r="AG26" s="53">
        <v>6</v>
      </c>
      <c r="AH26" s="53">
        <v>5.5</v>
      </c>
      <c r="AI26" s="54">
        <v>5.25</v>
      </c>
      <c r="AJ26" s="53">
        <v>5</v>
      </c>
      <c r="AK26" s="53">
        <v>5</v>
      </c>
      <c r="AL26" s="53">
        <v>5</v>
      </c>
      <c r="AM26" s="53">
        <v>5</v>
      </c>
      <c r="AO26" s="53">
        <v>5.5</v>
      </c>
      <c r="AP26" s="53">
        <v>6</v>
      </c>
      <c r="AQ26" s="53">
        <v>6.5</v>
      </c>
      <c r="AR26" s="53">
        <v>7</v>
      </c>
      <c r="AS26" s="54">
        <v>7.25</v>
      </c>
      <c r="AT26" s="54">
        <v>7.25</v>
      </c>
      <c r="AU26" s="54">
        <v>7.25</v>
      </c>
      <c r="AV26" s="54">
        <v>7.25</v>
      </c>
      <c r="AW26" s="54">
        <v>7.25</v>
      </c>
      <c r="AX26" s="54">
        <v>7.25</v>
      </c>
      <c r="AY26" s="54">
        <v>7.25</v>
      </c>
      <c r="AZ26" s="54">
        <v>7.25</v>
      </c>
      <c r="BA26" s="54"/>
      <c r="BB26" s="54">
        <v>7.25</v>
      </c>
      <c r="BC26" s="54">
        <v>7.75</v>
      </c>
      <c r="BD26" s="54">
        <v>8.25</v>
      </c>
      <c r="BE26" s="53">
        <v>8.5</v>
      </c>
      <c r="BF26" s="53">
        <v>8.5</v>
      </c>
      <c r="BG26" s="53">
        <v>8.5</v>
      </c>
      <c r="BH26" s="53">
        <v>8.5</v>
      </c>
      <c r="BI26" s="53">
        <v>8.5</v>
      </c>
      <c r="BJ26" s="53">
        <v>8</v>
      </c>
      <c r="BK26" s="53">
        <v>8</v>
      </c>
      <c r="BL26" s="53">
        <v>8</v>
      </c>
      <c r="BM26" s="53">
        <v>8</v>
      </c>
      <c r="BO26" s="53">
        <v>8</v>
      </c>
      <c r="BP26" s="53">
        <v>8</v>
      </c>
      <c r="BQ26" s="53">
        <v>8</v>
      </c>
      <c r="BR26" s="53">
        <v>8</v>
      </c>
      <c r="BS26" s="53">
        <v>8</v>
      </c>
      <c r="BT26" s="53">
        <v>8</v>
      </c>
      <c r="BU26" s="53">
        <v>8</v>
      </c>
      <c r="BV26" s="53">
        <v>8</v>
      </c>
      <c r="BW26" s="53">
        <v>8</v>
      </c>
      <c r="BX26" s="53">
        <v>8</v>
      </c>
      <c r="BY26" s="53">
        <v>8</v>
      </c>
      <c r="BZ26" s="53">
        <v>8</v>
      </c>
      <c r="CB26" s="53">
        <v>8</v>
      </c>
      <c r="CC26" s="53">
        <v>8</v>
      </c>
      <c r="CD26" s="53">
        <v>8</v>
      </c>
      <c r="CE26" s="53">
        <v>8</v>
      </c>
      <c r="CF26" s="53">
        <v>8</v>
      </c>
      <c r="CG26" s="53">
        <v>8</v>
      </c>
      <c r="CH26" s="53">
        <v>8</v>
      </c>
      <c r="CI26" s="53">
        <v>8.5</v>
      </c>
      <c r="CJ26" s="53">
        <v>8.5</v>
      </c>
      <c r="CK26" s="53">
        <v>8.5</v>
      </c>
      <c r="CL26" s="53">
        <v>8</v>
      </c>
      <c r="CM26" s="54">
        <v>7.75</v>
      </c>
      <c r="CO26" s="54">
        <v>7.75</v>
      </c>
      <c r="CP26" s="53">
        <v>7.5</v>
      </c>
      <c r="CQ26" s="53">
        <v>7.5</v>
      </c>
      <c r="CR26" s="53">
        <v>7.5</v>
      </c>
      <c r="CS26" s="54">
        <v>7.25</v>
      </c>
      <c r="CT26" s="54">
        <v>7.25</v>
      </c>
      <c r="CU26" s="54">
        <v>7</v>
      </c>
      <c r="CV26" s="54">
        <v>6.75</v>
      </c>
      <c r="CW26" s="54">
        <v>6.75</v>
      </c>
      <c r="CX26" s="54">
        <v>6.75</v>
      </c>
      <c r="CY26" s="54">
        <v>6.75</v>
      </c>
      <c r="CZ26" s="53">
        <v>8.5</v>
      </c>
      <c r="DB26" s="53">
        <v>9.5</v>
      </c>
      <c r="DC26" s="53">
        <v>10.5</v>
      </c>
      <c r="DD26" s="53">
        <v>10.5</v>
      </c>
      <c r="DE26" s="53">
        <v>10.5</v>
      </c>
      <c r="DF26" s="53">
        <v>10.5</v>
      </c>
      <c r="DG26" s="53">
        <v>10.5</v>
      </c>
      <c r="DH26" s="53">
        <v>10.5</v>
      </c>
      <c r="DI26" s="250">
        <v>10.25</v>
      </c>
      <c r="DJ26" s="250">
        <v>10.25</v>
      </c>
      <c r="DK26" s="250">
        <v>10.25</v>
      </c>
      <c r="DL26" s="250">
        <v>9.75</v>
      </c>
      <c r="DM26" s="250">
        <v>8.75</v>
      </c>
      <c r="DO26" s="54">
        <v>8.75</v>
      </c>
      <c r="DP26" s="54">
        <v>8.5</v>
      </c>
      <c r="DQ26" s="54">
        <v>8.25</v>
      </c>
      <c r="DR26" s="54">
        <v>8.25</v>
      </c>
      <c r="DS26" s="54">
        <v>7.75</v>
      </c>
      <c r="DT26" s="54">
        <v>7.5</v>
      </c>
      <c r="DU26" s="54">
        <v>7.5</v>
      </c>
      <c r="DV26" s="54">
        <v>7.25</v>
      </c>
      <c r="DW26" s="54">
        <v>6.75</v>
      </c>
      <c r="DX26" s="54">
        <v>6.75</v>
      </c>
      <c r="DY26" s="54">
        <v>6.5</v>
      </c>
      <c r="DZ26" s="54">
        <v>6.25</v>
      </c>
      <c r="EA26" s="54"/>
      <c r="EB26" s="54">
        <v>6.25</v>
      </c>
      <c r="EC26" s="53">
        <v>6</v>
      </c>
      <c r="ED26" s="53">
        <v>6</v>
      </c>
      <c r="EE26" s="53">
        <v>6</v>
      </c>
      <c r="EF26" s="53">
        <v>6</v>
      </c>
      <c r="EG26" s="53">
        <v>6</v>
      </c>
      <c r="EH26" s="53">
        <v>6</v>
      </c>
    </row>
    <row r="27" spans="1:144">
      <c r="A27" s="92" t="s">
        <v>135</v>
      </c>
      <c r="B27" s="55" t="s">
        <v>51</v>
      </c>
      <c r="C27" s="55" t="s">
        <v>51</v>
      </c>
      <c r="D27" s="55">
        <v>6.3997999999999999</v>
      </c>
      <c r="E27" s="55">
        <v>6.4569999999999999</v>
      </c>
      <c r="F27" s="55" t="s">
        <v>51</v>
      </c>
      <c r="G27" s="55">
        <v>5.9909999999999997</v>
      </c>
      <c r="H27" s="55">
        <v>5.9794</v>
      </c>
      <c r="I27" s="55" t="s">
        <v>51</v>
      </c>
      <c r="J27" s="56">
        <v>6.5247999999999999</v>
      </c>
      <c r="K27" s="39">
        <v>6.8</v>
      </c>
      <c r="L27" s="39">
        <v>7.0260999999999996</v>
      </c>
      <c r="M27" s="39">
        <v>7.5228000000000002</v>
      </c>
      <c r="N27" s="39"/>
      <c r="O27" s="53">
        <v>6.89</v>
      </c>
      <c r="P27" s="53">
        <v>7.77</v>
      </c>
      <c r="Q27" s="53">
        <v>8.49</v>
      </c>
      <c r="R27" s="53">
        <v>7.52</v>
      </c>
      <c r="S27" s="53">
        <v>7.25</v>
      </c>
      <c r="T27" s="53">
        <v>7.35</v>
      </c>
      <c r="U27" s="53">
        <v>8.24</v>
      </c>
      <c r="V27" s="53">
        <v>8.0549999999999997</v>
      </c>
      <c r="W27" s="53">
        <v>8.3920999999999992</v>
      </c>
      <c r="X27" s="53">
        <v>8.480688157894738</v>
      </c>
      <c r="Y27" s="53">
        <v>9.0299999999999994</v>
      </c>
      <c r="Z27" s="53">
        <v>9.1</v>
      </c>
      <c r="AB27" s="53">
        <v>9.65</v>
      </c>
      <c r="AC27" s="53">
        <v>9.3699999999999992</v>
      </c>
      <c r="AD27" s="53">
        <v>10.7</v>
      </c>
      <c r="AE27" s="53">
        <v>11.37</v>
      </c>
      <c r="AF27" s="53">
        <v>11.79</v>
      </c>
      <c r="AG27" s="53">
        <v>11.5</v>
      </c>
      <c r="AH27" s="53">
        <v>8.24</v>
      </c>
      <c r="AI27" s="53">
        <v>8.9</v>
      </c>
      <c r="AJ27" s="53">
        <v>7.37</v>
      </c>
      <c r="AK27" s="53">
        <v>8.19</v>
      </c>
      <c r="AL27" s="53">
        <v>10.220000000000001</v>
      </c>
      <c r="AM27" s="53">
        <v>10.35</v>
      </c>
      <c r="AO27" s="53">
        <v>9.9</v>
      </c>
      <c r="AP27" s="53">
        <v>11.48</v>
      </c>
      <c r="AQ27" s="53">
        <v>9.7200000000000006</v>
      </c>
      <c r="AR27" s="53">
        <v>10.7</v>
      </c>
      <c r="AS27" s="53">
        <v>13.955593474426808</v>
      </c>
      <c r="AT27" s="53">
        <v>9.593</v>
      </c>
      <c r="AU27" s="53">
        <v>8.3503000000000007</v>
      </c>
      <c r="AV27" s="53">
        <v>10.427408392634218</v>
      </c>
      <c r="AW27" s="53">
        <v>11.494831365655884</v>
      </c>
      <c r="AX27" s="53">
        <v>9.8887176470588241</v>
      </c>
      <c r="AY27" s="53">
        <v>9.0235154713268564</v>
      </c>
      <c r="AZ27" s="53">
        <v>8.3491625000000003</v>
      </c>
      <c r="BB27" s="53">
        <v>8.54024315054426</v>
      </c>
      <c r="BC27" s="53">
        <v>8.8214833333333331</v>
      </c>
      <c r="BD27" s="53">
        <v>6.9157333333333346</v>
      </c>
      <c r="BE27" s="53">
        <v>8.9691873309201764</v>
      </c>
      <c r="BF27" s="53">
        <v>9.8123903225806455</v>
      </c>
      <c r="BG27" s="53">
        <v>9.6196749999999991</v>
      </c>
      <c r="BH27" s="53">
        <v>8.688642857142856</v>
      </c>
      <c r="BI27" s="53">
        <v>7.7849500000000011</v>
      </c>
      <c r="BJ27" s="53">
        <v>8.0744499999999988</v>
      </c>
      <c r="BK27" s="53">
        <v>8.3141625000000001</v>
      </c>
      <c r="BL27" s="53">
        <v>9.6437115723810205</v>
      </c>
      <c r="BM27" s="53">
        <v>10.682579701070491</v>
      </c>
      <c r="BO27" s="53">
        <v>10.643233333333333</v>
      </c>
      <c r="BP27" s="53">
        <v>8.8996499999999994</v>
      </c>
      <c r="BQ27" s="53">
        <v>8.7669000000000015</v>
      </c>
      <c r="BR27" s="53">
        <v>8.9257999999999988</v>
      </c>
      <c r="BS27" s="53">
        <v>8.9570142857142869</v>
      </c>
      <c r="BT27" s="53">
        <v>8.9696874999999991</v>
      </c>
      <c r="BU27" s="53">
        <v>9.0981589958158988</v>
      </c>
      <c r="BV27" s="53">
        <v>9.4187857142857148</v>
      </c>
      <c r="BW27" s="53">
        <v>9.4273799999999994</v>
      </c>
      <c r="BX27" s="53">
        <v>9.5815000000000001</v>
      </c>
      <c r="BY27" s="53">
        <v>9.9599416175591422</v>
      </c>
      <c r="BZ27" s="53">
        <v>10.392560807747785</v>
      </c>
      <c r="CB27" s="53">
        <v>10.185057142857143</v>
      </c>
      <c r="CC27" s="53">
        <v>9.9380799999999994</v>
      </c>
      <c r="CD27" s="53">
        <v>9.4569777777777784</v>
      </c>
      <c r="CE27" s="53">
        <v>9.2053875000000005</v>
      </c>
      <c r="CF27" s="53">
        <v>9.3562295085313778</v>
      </c>
      <c r="CG27" s="53">
        <v>8.9611999999999998</v>
      </c>
      <c r="CH27" s="53">
        <v>8.9587004566210044</v>
      </c>
      <c r="CI27" s="53">
        <v>8.8408666666666669</v>
      </c>
      <c r="CJ27" s="53">
        <v>9.053700000000001</v>
      </c>
      <c r="CK27" s="53">
        <v>8.9724250000000012</v>
      </c>
      <c r="CL27" s="53">
        <v>8.6018376195959778</v>
      </c>
      <c r="CM27" s="53">
        <v>8.1927000000000003</v>
      </c>
      <c r="CO27" s="53">
        <v>7.8936000000000002</v>
      </c>
      <c r="CP27" s="53">
        <v>8.0068666666666672</v>
      </c>
      <c r="CQ27" s="53">
        <v>7.9786666666666664</v>
      </c>
      <c r="CR27" s="53">
        <v>7.948833333333333</v>
      </c>
      <c r="CS27" s="53">
        <v>7.8360250000000002</v>
      </c>
      <c r="CT27" s="53">
        <v>7.7277000000000005</v>
      </c>
      <c r="CU27" s="53">
        <v>7.6471666666666662</v>
      </c>
      <c r="CV27" s="53">
        <v>7.4447999999999999</v>
      </c>
      <c r="CW27" s="53">
        <v>7.2325111111111111</v>
      </c>
      <c r="CX27" s="53">
        <v>7.0786999999999995</v>
      </c>
      <c r="CY27" s="195">
        <v>7.1088500000000003</v>
      </c>
      <c r="CZ27" s="242" t="s">
        <v>51</v>
      </c>
      <c r="DA27" s="243"/>
      <c r="DB27" s="242" t="s">
        <v>51</v>
      </c>
      <c r="DC27" s="53">
        <v>15.230433333333332</v>
      </c>
      <c r="DD27" s="53">
        <v>13.616321428571428</v>
      </c>
      <c r="DE27" s="53">
        <v>12.857099999999999</v>
      </c>
      <c r="DF27" s="53">
        <v>12.718549999999999</v>
      </c>
      <c r="DG27" s="53">
        <v>12.147599999999999</v>
      </c>
      <c r="DH27" s="53">
        <v>11.831099999999999</v>
      </c>
      <c r="DI27" s="53">
        <v>11.819000000000001</v>
      </c>
      <c r="DJ27" s="53">
        <v>12.059750000000001</v>
      </c>
      <c r="DK27" s="53">
        <v>11.845225000000001</v>
      </c>
      <c r="DL27" s="53">
        <v>12.021850000000001</v>
      </c>
      <c r="DM27" s="53">
        <v>11.845791666666667</v>
      </c>
      <c r="DO27" s="53">
        <v>11.335800000000001</v>
      </c>
      <c r="DP27" s="53">
        <v>10.92098</v>
      </c>
      <c r="DQ27" s="53">
        <v>10.9</v>
      </c>
      <c r="DR27" s="53">
        <v>10.455233333333334</v>
      </c>
      <c r="DS27" s="53">
        <v>9.851466666666667</v>
      </c>
      <c r="DT27" s="53">
        <v>9.436633333333333</v>
      </c>
      <c r="DU27" s="53">
        <v>8.6261875000000003</v>
      </c>
      <c r="DV27" s="53">
        <v>8.2586624999999998</v>
      </c>
      <c r="DW27" s="53">
        <v>8.3010125000000006</v>
      </c>
      <c r="DX27" s="53">
        <v>7.6371125000000006</v>
      </c>
      <c r="DY27" s="53">
        <v>6.7690235459662285</v>
      </c>
      <c r="DZ27" s="53">
        <v>7.1078695624999995</v>
      </c>
      <c r="EB27" s="53">
        <v>7.3163999999999989</v>
      </c>
      <c r="EC27" s="53">
        <v>7.0520666666666658</v>
      </c>
      <c r="ED27" s="53">
        <v>6.5068666666666672</v>
      </c>
      <c r="EE27" s="53">
        <v>6.7515999999999998</v>
      </c>
      <c r="EF27" s="53">
        <v>6.3044333333333329</v>
      </c>
      <c r="EG27" s="53">
        <v>6.2860666666666667</v>
      </c>
      <c r="EH27" s="53">
        <v>7.5201000000000011</v>
      </c>
    </row>
    <row r="28" spans="1:144" hidden="1">
      <c r="A28" s="91" t="s">
        <v>48</v>
      </c>
      <c r="B28" s="40">
        <v>5.1124032226463516</v>
      </c>
      <c r="C28" s="40">
        <v>4.8138022419054476</v>
      </c>
      <c r="D28" s="40">
        <v>4.8361750932941749</v>
      </c>
      <c r="E28" s="40">
        <v>5.1392236034272702</v>
      </c>
      <c r="F28" s="40">
        <v>4.6502470718422062</v>
      </c>
      <c r="G28" s="40">
        <v>4.2601878163640867</v>
      </c>
      <c r="H28" s="40">
        <v>4.3420918454918285</v>
      </c>
      <c r="I28" s="40">
        <v>4.2</v>
      </c>
      <c r="J28" s="39">
        <v>4.4747477613193469</v>
      </c>
      <c r="K28" s="39">
        <v>4.7251028572649467</v>
      </c>
      <c r="L28" s="39">
        <v>4.6927309449421823</v>
      </c>
      <c r="M28" s="39">
        <v>5.4236489992309531</v>
      </c>
      <c r="N28" s="39"/>
      <c r="O28" s="53">
        <v>6.0677559106600807</v>
      </c>
      <c r="P28" s="53">
        <v>6.3899913796296408</v>
      </c>
      <c r="Q28" s="53">
        <v>6.63</v>
      </c>
      <c r="R28" s="53">
        <v>7.2055557926185916</v>
      </c>
      <c r="S28" s="53">
        <v>7.1038746642765398</v>
      </c>
      <c r="T28" s="53">
        <v>6.95</v>
      </c>
      <c r="U28" s="53">
        <v>7.0074480785716888</v>
      </c>
      <c r="V28" s="53">
        <v>7.5970172510522609</v>
      </c>
      <c r="W28" s="53">
        <v>7.8</v>
      </c>
      <c r="X28" s="53">
        <v>7.9459531837567825</v>
      </c>
      <c r="Y28" s="53">
        <v>8.5721986459458215</v>
      </c>
      <c r="Z28" s="53">
        <v>8.3095581190248229</v>
      </c>
      <c r="AB28" s="53">
        <v>7.9</v>
      </c>
      <c r="AC28" s="53">
        <v>7.8963941851103696</v>
      </c>
      <c r="AD28" s="53">
        <v>9.0709397935466498</v>
      </c>
      <c r="AE28" s="53">
        <v>8.6300000000000008</v>
      </c>
      <c r="AF28" s="53">
        <v>7.951639715959935</v>
      </c>
      <c r="AG28" s="53">
        <v>7.4706693813497687</v>
      </c>
      <c r="AH28" s="53">
        <v>6.2431111530617605</v>
      </c>
      <c r="AI28" s="53">
        <v>5.4859100115324679</v>
      </c>
      <c r="AJ28" s="53">
        <v>5.5833368796563638</v>
      </c>
      <c r="AK28" s="53">
        <v>7.0370435123086938</v>
      </c>
      <c r="AL28" s="53">
        <v>5.5899611490096737</v>
      </c>
      <c r="AM28" s="53">
        <v>5.82</v>
      </c>
      <c r="AO28" s="53">
        <v>7.6712748089698186</v>
      </c>
      <c r="AP28" s="53">
        <v>8.6</v>
      </c>
      <c r="AQ28" s="53">
        <v>10.075802735673767</v>
      </c>
      <c r="AR28" s="53">
        <v>12.110810330127412</v>
      </c>
      <c r="AS28" s="53">
        <v>10.705458011002538</v>
      </c>
      <c r="AT28" s="53">
        <v>8.6255295369856775</v>
      </c>
      <c r="AU28" s="53">
        <v>7.2137750841781072</v>
      </c>
      <c r="AV28" s="53">
        <v>6.9365851055561487</v>
      </c>
      <c r="AW28" s="53">
        <v>7.4553884358994154</v>
      </c>
      <c r="AX28" s="53">
        <v>7.551180336603788</v>
      </c>
      <c r="AY28" s="53">
        <v>7.5855003352434016</v>
      </c>
      <c r="AZ28" s="53">
        <v>7.8095623713690081</v>
      </c>
      <c r="BB28" s="53">
        <v>7.8763376041579063</v>
      </c>
      <c r="BC28" s="53">
        <v>8.3443105456398108</v>
      </c>
      <c r="BD28" s="53">
        <v>8.3231246330552136</v>
      </c>
      <c r="BE28" s="53">
        <v>9.273279666615494</v>
      </c>
      <c r="BF28" s="53">
        <v>10.354864744847129</v>
      </c>
      <c r="BG28" s="53">
        <v>10.252630303251808</v>
      </c>
      <c r="BH28" s="53">
        <v>10.517343851252337</v>
      </c>
      <c r="BI28" s="53">
        <v>9.5141265161223334</v>
      </c>
      <c r="BJ28" s="53">
        <v>9.7512892895747179</v>
      </c>
      <c r="BK28" s="53">
        <v>9.5543427839405695</v>
      </c>
      <c r="BL28" s="53">
        <v>8.9724954545454541</v>
      </c>
      <c r="BM28" s="53">
        <v>11.206566154611652</v>
      </c>
      <c r="BO28" s="168">
        <v>11.535342024246223</v>
      </c>
      <c r="BP28" s="168">
        <v>10.998258221092751</v>
      </c>
      <c r="BQ28" s="168">
        <v>9.7785594178745256</v>
      </c>
      <c r="BR28" s="168">
        <v>9.8902995279267483</v>
      </c>
      <c r="BS28" s="168">
        <v>10.394900445933201</v>
      </c>
      <c r="BT28" s="168">
        <v>10.544297048613709</v>
      </c>
      <c r="BU28" s="168">
        <v>10.764735555969668</v>
      </c>
      <c r="BV28" s="168">
        <v>10.27348275474829</v>
      </c>
      <c r="BW28" s="168">
        <v>10.155804854186282</v>
      </c>
      <c r="BX28" s="168">
        <v>9.7029401010644776</v>
      </c>
      <c r="BY28" s="168">
        <v>9.4758690070081499</v>
      </c>
      <c r="BZ28" s="168">
        <v>9.5333660699538676</v>
      </c>
      <c r="CA28" s="168"/>
      <c r="CB28" s="168">
        <v>9.4312628981144879</v>
      </c>
      <c r="CC28" s="168">
        <v>9.4365771147613504</v>
      </c>
      <c r="CD28" s="168">
        <v>9.5293316067225113</v>
      </c>
      <c r="CE28" s="168">
        <v>9.5846406719754</v>
      </c>
      <c r="CF28" s="168">
        <v>9.4943966098107406</v>
      </c>
      <c r="CG28" s="168">
        <v>9.42884014056553</v>
      </c>
      <c r="CH28" s="168">
        <v>9.4857546301106979</v>
      </c>
      <c r="CI28" s="168"/>
      <c r="CJ28" s="168"/>
    </row>
    <row r="29" spans="1:144">
      <c r="A29" s="131" t="s">
        <v>92</v>
      </c>
      <c r="B29" s="40">
        <v>17.010000000000002</v>
      </c>
      <c r="C29" s="40">
        <v>17.649999999999999</v>
      </c>
      <c r="D29" s="40">
        <v>18.350000000000001</v>
      </c>
      <c r="E29" s="40">
        <v>17.3</v>
      </c>
      <c r="F29" s="40">
        <v>18.14</v>
      </c>
      <c r="G29" s="40">
        <v>17.68</v>
      </c>
      <c r="H29" s="40">
        <v>17.87</v>
      </c>
      <c r="I29" s="40">
        <v>18.059999999999999</v>
      </c>
      <c r="J29" s="39">
        <v>17.350000000000001</v>
      </c>
      <c r="K29" s="39">
        <v>17</v>
      </c>
      <c r="L29" s="39">
        <v>17.05</v>
      </c>
      <c r="M29" s="39">
        <v>16.45</v>
      </c>
      <c r="N29" s="39"/>
      <c r="O29" s="53">
        <v>17.170000000000002</v>
      </c>
      <c r="P29" s="53">
        <v>16.45</v>
      </c>
      <c r="Q29" s="53">
        <v>17.170000000000002</v>
      </c>
      <c r="R29" s="53">
        <v>17.29</v>
      </c>
      <c r="S29" s="53">
        <v>17.39</v>
      </c>
      <c r="T29" s="53">
        <v>17.350000000000001</v>
      </c>
      <c r="U29" s="53">
        <v>16.8</v>
      </c>
      <c r="V29" s="53">
        <v>17.5</v>
      </c>
      <c r="W29" s="53">
        <v>17.190000000000001</v>
      </c>
      <c r="X29" s="53">
        <v>17.07</v>
      </c>
      <c r="Y29" s="53">
        <v>17.079999999999998</v>
      </c>
      <c r="Z29" s="53">
        <v>16.5</v>
      </c>
      <c r="AB29" s="53">
        <v>19.489999999999998</v>
      </c>
      <c r="AC29" s="53">
        <v>18.84</v>
      </c>
      <c r="AD29" s="53">
        <v>19.22</v>
      </c>
      <c r="AE29" s="53">
        <v>18.77</v>
      </c>
      <c r="AF29" s="53">
        <v>18.61</v>
      </c>
      <c r="AG29" s="53">
        <v>18.64</v>
      </c>
      <c r="AH29" s="53">
        <v>18.54</v>
      </c>
      <c r="AI29" s="53">
        <v>18.59</v>
      </c>
      <c r="AJ29" s="53">
        <v>18.350000000000001</v>
      </c>
      <c r="AK29" s="53">
        <v>18.66</v>
      </c>
      <c r="AL29" s="53">
        <v>18.649999999999999</v>
      </c>
      <c r="AM29" s="53">
        <v>18.79</v>
      </c>
      <c r="AO29" s="53">
        <v>18.36294361087738</v>
      </c>
      <c r="AP29" s="53">
        <v>18.655982361675559</v>
      </c>
      <c r="AQ29" s="53">
        <v>18.331395008645721</v>
      </c>
      <c r="AR29" s="53">
        <v>18.27431325136676</v>
      </c>
      <c r="AS29" s="53">
        <v>18.99074146076153</v>
      </c>
      <c r="AT29" s="53">
        <v>18.158983254492636</v>
      </c>
      <c r="AU29" s="53">
        <v>17.882555442785122</v>
      </c>
      <c r="AV29" s="53">
        <v>18.477367771938809</v>
      </c>
      <c r="AW29" s="53">
        <v>17.959225975336274</v>
      </c>
      <c r="AX29" s="53">
        <v>18.478554954568875</v>
      </c>
      <c r="AY29" s="53">
        <v>18.662920964432828</v>
      </c>
      <c r="AZ29" s="53">
        <v>17.870971909269223</v>
      </c>
      <c r="BB29" s="53">
        <v>17.907643763250817</v>
      </c>
      <c r="BC29" s="53">
        <v>18.185611756119904</v>
      </c>
      <c r="BD29" s="53">
        <v>17.962349292328536</v>
      </c>
      <c r="BE29" s="53">
        <v>17.138444864379341</v>
      </c>
      <c r="BF29" s="53">
        <v>17.112736834521371</v>
      </c>
      <c r="BG29" s="53">
        <v>17.351853045030484</v>
      </c>
      <c r="BH29" s="53">
        <v>17.286763392825659</v>
      </c>
      <c r="BI29" s="53">
        <v>17.551101967310416</v>
      </c>
      <c r="BJ29" s="53">
        <v>17.503155802384555</v>
      </c>
      <c r="BK29" s="53">
        <v>17.765105982744792</v>
      </c>
      <c r="BL29" s="53">
        <v>17.854047543865214</v>
      </c>
      <c r="BM29" s="53">
        <v>17.917457948819635</v>
      </c>
      <c r="BO29" s="168">
        <v>18.622272722087477</v>
      </c>
      <c r="BP29" s="168">
        <v>18.106178280569917</v>
      </c>
      <c r="BQ29" s="168">
        <v>17.736209766103123</v>
      </c>
      <c r="BR29" s="168">
        <v>18.007629340923231</v>
      </c>
      <c r="BS29" s="168">
        <v>17.45423440108679</v>
      </c>
      <c r="BT29" s="168">
        <v>16.73561094782271</v>
      </c>
      <c r="BU29" s="168">
        <v>16.573810592359266</v>
      </c>
      <c r="BV29" s="168">
        <v>16.885841464938519</v>
      </c>
      <c r="BW29" s="168">
        <v>16.409047871462555</v>
      </c>
      <c r="BX29" s="168">
        <v>17.170021664062975</v>
      </c>
      <c r="BY29" s="168">
        <v>17.044851719291554</v>
      </c>
      <c r="BZ29" s="168">
        <v>15.994388417189825</v>
      </c>
      <c r="CA29" s="168"/>
      <c r="CB29" s="168">
        <v>16.085573051213089</v>
      </c>
      <c r="CC29" s="168">
        <v>15.524979621825027</v>
      </c>
      <c r="CD29" s="168">
        <v>17.075665589604284</v>
      </c>
      <c r="CE29" s="168">
        <v>16.470564422633572</v>
      </c>
      <c r="CF29" s="168">
        <v>16.039430180765368</v>
      </c>
      <c r="CG29" s="168">
        <v>16.726901495896758</v>
      </c>
      <c r="CH29" s="168">
        <v>16.071960485500497</v>
      </c>
      <c r="CI29" s="168">
        <v>16.550867213989754</v>
      </c>
      <c r="CJ29" s="168">
        <v>15.797799517847025</v>
      </c>
      <c r="CK29" s="53">
        <v>15.565012436705423</v>
      </c>
      <c r="CL29" s="53">
        <v>14.993433340028341</v>
      </c>
      <c r="CM29" s="53">
        <v>15.037661059713852</v>
      </c>
      <c r="CO29" s="53">
        <v>15.912366121154461</v>
      </c>
      <c r="CP29" s="53">
        <v>17.080128373504181</v>
      </c>
      <c r="CQ29" s="53">
        <v>16.724541125541467</v>
      </c>
      <c r="CR29" s="53">
        <v>15.817010941767128</v>
      </c>
      <c r="CS29" s="53">
        <v>17.00383006413611</v>
      </c>
      <c r="CT29" s="53">
        <v>16.455129559894342</v>
      </c>
      <c r="CU29" s="53">
        <v>15.763534625563713</v>
      </c>
      <c r="CV29" s="168">
        <v>17.123282866981519</v>
      </c>
      <c r="CW29" s="168">
        <v>16.354094664885348</v>
      </c>
      <c r="CX29" s="168">
        <v>15.101025111543629</v>
      </c>
      <c r="CY29" s="195">
        <v>17.362900027239608</v>
      </c>
      <c r="CZ29" s="53">
        <v>16.206139670295801</v>
      </c>
      <c r="DB29" s="53">
        <v>16.76897795691503</v>
      </c>
      <c r="DC29" s="53">
        <v>18.708986321999596</v>
      </c>
      <c r="DD29" s="53">
        <v>19.106565341328892</v>
      </c>
      <c r="DE29" s="53">
        <v>17.054320133006318</v>
      </c>
      <c r="DF29" s="53">
        <v>17.659918993772155</v>
      </c>
      <c r="DG29" s="53">
        <v>17.346162552774107</v>
      </c>
      <c r="DH29" s="53">
        <v>18.175277440289122</v>
      </c>
      <c r="DI29" s="53">
        <v>18.858972865490102</v>
      </c>
      <c r="DJ29" s="53">
        <v>17.884667526793461</v>
      </c>
      <c r="DK29" s="53">
        <v>16.540775062180423</v>
      </c>
      <c r="DL29" s="53">
        <v>17.02245168640999</v>
      </c>
      <c r="DM29" s="53">
        <v>15.956838237854775</v>
      </c>
      <c r="DO29" s="53">
        <v>16.96096215057651</v>
      </c>
      <c r="DP29" s="53">
        <v>19.175455959447941</v>
      </c>
      <c r="DQ29" s="53">
        <v>19.105135175172386</v>
      </c>
      <c r="DR29" s="53">
        <v>17.938505249043335</v>
      </c>
      <c r="DS29" s="53">
        <v>18.142133241479275</v>
      </c>
      <c r="DT29" s="53">
        <v>16.663950121247517</v>
      </c>
      <c r="DU29" s="53">
        <v>17.496273152329454</v>
      </c>
      <c r="DV29" s="53">
        <v>17.444535940564613</v>
      </c>
      <c r="DW29" s="53">
        <v>17.249791488327691</v>
      </c>
      <c r="DX29" s="53">
        <v>17.592178845804003</v>
      </c>
      <c r="DY29" s="53">
        <v>15.043528670601569</v>
      </c>
      <c r="DZ29" s="53">
        <v>15.468023381005544</v>
      </c>
      <c r="EB29" s="53">
        <v>17.193262544600781</v>
      </c>
      <c r="EC29" s="53">
        <v>16.271750125843262</v>
      </c>
      <c r="ED29" s="53">
        <v>16.795442548811867</v>
      </c>
      <c r="EE29" s="53">
        <v>15.18186123220549</v>
      </c>
      <c r="EF29" s="53">
        <v>15.198271949334428</v>
      </c>
      <c r="EG29" s="53">
        <v>12.559588255555905</v>
      </c>
      <c r="EH29" s="53">
        <v>13.693225356584763</v>
      </c>
    </row>
    <row r="30" spans="1:144" ht="13.5">
      <c r="A30" s="131" t="s">
        <v>93</v>
      </c>
      <c r="B30" s="40">
        <v>5.8</v>
      </c>
      <c r="C30" s="40">
        <v>5.9</v>
      </c>
      <c r="D30" s="40">
        <v>6.03</v>
      </c>
      <c r="E30" s="40">
        <v>5.83</v>
      </c>
      <c r="F30" s="40">
        <v>6.08</v>
      </c>
      <c r="G30" s="40">
        <v>7.63</v>
      </c>
      <c r="H30" s="40">
        <v>6.83</v>
      </c>
      <c r="I30" s="40">
        <v>6.21</v>
      </c>
      <c r="J30" s="39">
        <v>6.25</v>
      </c>
      <c r="K30" s="39">
        <v>6.4</v>
      </c>
      <c r="L30" s="39">
        <v>6.17</v>
      </c>
      <c r="M30" s="39">
        <v>6.13</v>
      </c>
      <c r="N30" s="39"/>
      <c r="O30" s="53">
        <v>6.51</v>
      </c>
      <c r="P30" s="53">
        <v>6.16</v>
      </c>
      <c r="Q30" s="53">
        <v>7.36</v>
      </c>
      <c r="R30" s="53">
        <v>6.14</v>
      </c>
      <c r="S30" s="53">
        <v>5.71</v>
      </c>
      <c r="T30" s="53">
        <v>5.75</v>
      </c>
      <c r="U30" s="53">
        <v>6.23</v>
      </c>
      <c r="V30" s="53">
        <v>5.75</v>
      </c>
      <c r="W30" s="53">
        <v>6.67</v>
      </c>
      <c r="X30" s="53">
        <v>7.11</v>
      </c>
      <c r="Y30" s="53">
        <v>7.6</v>
      </c>
      <c r="Z30" s="53">
        <v>7.71</v>
      </c>
      <c r="AB30" s="53">
        <v>8.26</v>
      </c>
      <c r="AC30" s="53">
        <v>8.2799999999999994</v>
      </c>
      <c r="AD30" s="53">
        <v>9.64</v>
      </c>
      <c r="AE30" s="53">
        <v>8.18</v>
      </c>
      <c r="AF30" s="53">
        <v>8.9</v>
      </c>
      <c r="AG30" s="53">
        <v>9.48</v>
      </c>
      <c r="AH30" s="53">
        <v>9.11</v>
      </c>
      <c r="AI30" s="53">
        <v>8.7200000000000006</v>
      </c>
      <c r="AJ30" s="53">
        <v>8.34</v>
      </c>
      <c r="AK30" s="53">
        <v>8.24</v>
      </c>
      <c r="AL30" s="53">
        <v>8.59</v>
      </c>
      <c r="AM30" s="53">
        <v>8.1</v>
      </c>
      <c r="AO30" s="53">
        <v>8.1249356164265443</v>
      </c>
      <c r="AP30" s="53">
        <v>8.8588634356653024</v>
      </c>
      <c r="AQ30" s="53">
        <v>8.8879016043654939</v>
      </c>
      <c r="AR30" s="53">
        <v>9.3240193140717302</v>
      </c>
      <c r="AS30" s="53">
        <v>9.8620911973967953</v>
      </c>
      <c r="AT30" s="53">
        <v>9.4619407774530782</v>
      </c>
      <c r="AU30" s="53">
        <v>9.7088738115227553</v>
      </c>
      <c r="AV30" s="53">
        <v>9.6476640196828392</v>
      </c>
      <c r="AW30" s="53">
        <v>9.2292832797046191</v>
      </c>
      <c r="AX30" s="53">
        <v>9.1887942308097532</v>
      </c>
      <c r="AY30" s="53">
        <v>9.2906497769826206</v>
      </c>
      <c r="AZ30" s="53">
        <v>9.1421239332169755</v>
      </c>
      <c r="BB30" s="53">
        <v>9.4457632347701868</v>
      </c>
      <c r="BC30" s="53">
        <v>9.5849181436858544</v>
      </c>
      <c r="BD30" s="53">
        <v>9.4356726282710817</v>
      </c>
      <c r="BE30" s="53">
        <v>9.5504339327701615</v>
      </c>
      <c r="BF30" s="53">
        <v>9.655869118882455</v>
      </c>
      <c r="BG30" s="53">
        <v>9.7216871059152101</v>
      </c>
      <c r="BH30" s="53">
        <v>9.3941593186594954</v>
      </c>
      <c r="BI30" s="53">
        <v>9.7766513541164297</v>
      </c>
      <c r="BJ30" s="53">
        <v>9.4817135848915672</v>
      </c>
      <c r="BK30" s="53">
        <v>9.6144743540236099</v>
      </c>
      <c r="BL30" s="53">
        <v>9.5920921103696308</v>
      </c>
      <c r="BM30" s="53">
        <v>10.313831017394673</v>
      </c>
      <c r="BO30" s="168">
        <v>10.065930082020003</v>
      </c>
      <c r="BP30" s="168">
        <v>9.47924731557797</v>
      </c>
      <c r="BQ30" s="168">
        <v>8.5532180601880814</v>
      </c>
      <c r="BR30" s="168">
        <v>8.957294669267549</v>
      </c>
      <c r="BS30" s="168">
        <v>9.145697733245802</v>
      </c>
      <c r="BT30" s="168">
        <v>9.0273825883944347</v>
      </c>
      <c r="BU30" s="168">
        <v>10.091334041542076</v>
      </c>
      <c r="BV30" s="168">
        <v>9.7637002950796994</v>
      </c>
      <c r="BW30" s="168">
        <v>9.7756044017782369</v>
      </c>
      <c r="BX30" s="168">
        <v>9.7651863521657312</v>
      </c>
      <c r="BY30" s="168">
        <v>9.9167645298279741</v>
      </c>
      <c r="BZ30" s="168">
        <v>10.059279142646284</v>
      </c>
      <c r="CA30" s="168"/>
      <c r="CB30" s="168">
        <v>9.976639433954178</v>
      </c>
      <c r="CC30" s="168">
        <v>10.327362958693218</v>
      </c>
      <c r="CD30" s="168">
        <v>9.9899599408509765</v>
      </c>
      <c r="CE30" s="168">
        <v>10.016372615727871</v>
      </c>
      <c r="CF30" s="168">
        <v>10.044095029849847</v>
      </c>
      <c r="CG30" s="168">
        <v>10.190590869805215</v>
      </c>
      <c r="CH30" s="168">
        <v>10.07811863610511</v>
      </c>
      <c r="CI30" s="168">
        <v>10.325648589050267</v>
      </c>
      <c r="CJ30" s="168">
        <v>10.021227058784126</v>
      </c>
      <c r="CK30" s="53">
        <v>9.9814548035883135</v>
      </c>
      <c r="CL30" s="53">
        <v>10.551400801149622</v>
      </c>
      <c r="CM30" s="53">
        <v>10.420312726603049</v>
      </c>
      <c r="CN30" s="194"/>
      <c r="CO30" s="53">
        <v>10.275623962566851</v>
      </c>
      <c r="CP30" s="53">
        <v>9.8170183203217878</v>
      </c>
      <c r="CQ30" s="53">
        <v>9.7106511686830856</v>
      </c>
      <c r="CR30" s="53">
        <v>10.115265153204088</v>
      </c>
      <c r="CS30" s="53">
        <v>10.179363024412993</v>
      </c>
      <c r="CT30" s="53">
        <v>10.638147859542293</v>
      </c>
      <c r="CU30" s="53">
        <v>10.274945682031733</v>
      </c>
      <c r="CV30" s="168">
        <v>10.680869229027163</v>
      </c>
      <c r="CW30" s="168">
        <v>10.121326046032051</v>
      </c>
      <c r="CX30" s="168">
        <v>10.54456941576966</v>
      </c>
      <c r="CY30" s="195">
        <v>10.295184570656941</v>
      </c>
      <c r="CZ30" s="53">
        <v>12.527746328114386</v>
      </c>
      <c r="DB30" s="53">
        <v>12.064150692391328</v>
      </c>
      <c r="DC30" s="53">
        <v>13.991795456843755</v>
      </c>
      <c r="DD30" s="53">
        <v>15.209354386042852</v>
      </c>
      <c r="DE30" s="53">
        <v>13.261260243344045</v>
      </c>
      <c r="DF30" s="53">
        <v>15.26371582536027</v>
      </c>
      <c r="DG30" s="53">
        <v>14.847445114821186</v>
      </c>
      <c r="DH30" s="53">
        <v>14.44437702326552</v>
      </c>
      <c r="DI30" s="53">
        <v>12.255021078815513</v>
      </c>
      <c r="DJ30" s="53">
        <v>14.05814808603459</v>
      </c>
      <c r="DK30" s="53">
        <v>15.216325633540032</v>
      </c>
      <c r="DL30" s="53">
        <v>15.073099550949292</v>
      </c>
      <c r="DM30" s="53">
        <v>14.093215102792932</v>
      </c>
      <c r="DO30" s="53">
        <v>13.350440515898434</v>
      </c>
      <c r="DP30" s="53">
        <v>11.440081359518516</v>
      </c>
      <c r="DQ30" s="53">
        <v>11.447533906917261</v>
      </c>
      <c r="DR30" s="53">
        <v>10.769888059412892</v>
      </c>
      <c r="DS30" s="53">
        <v>12.202668568505079</v>
      </c>
      <c r="DT30" s="53">
        <v>12.805388266392445</v>
      </c>
      <c r="DU30" s="53">
        <v>12.371659761758036</v>
      </c>
      <c r="DV30" s="53">
        <v>12.042032456453354</v>
      </c>
      <c r="DW30" s="53">
        <v>11.762604731227105</v>
      </c>
      <c r="DX30" s="53">
        <v>10.693699785826283</v>
      </c>
      <c r="DY30" s="53">
        <v>10.601735395678423</v>
      </c>
      <c r="DZ30" s="53">
        <v>9.9001535918657382</v>
      </c>
      <c r="EB30" s="53">
        <v>8.9605502827620711</v>
      </c>
      <c r="EC30" s="53">
        <v>9.2861926739644627</v>
      </c>
      <c r="ED30" s="53">
        <v>9.2091626624319112</v>
      </c>
      <c r="EE30" s="53">
        <v>10.149404172524383</v>
      </c>
      <c r="EF30" s="53">
        <v>8.8632012618927121</v>
      </c>
      <c r="EG30" s="53">
        <v>9.1017372177504825</v>
      </c>
      <c r="EH30" s="53">
        <v>8.8172486409116484</v>
      </c>
    </row>
    <row r="31" spans="1:144">
      <c r="A31" s="92" t="s">
        <v>73</v>
      </c>
      <c r="B31" s="40">
        <f t="shared" ref="B31:M31" si="0">B29-B30</f>
        <v>11.21</v>
      </c>
      <c r="C31" s="40">
        <f t="shared" si="0"/>
        <v>11.749999999999998</v>
      </c>
      <c r="D31" s="40">
        <f t="shared" si="0"/>
        <v>12.32</v>
      </c>
      <c r="E31" s="40">
        <f t="shared" si="0"/>
        <v>11.47</v>
      </c>
      <c r="F31" s="40">
        <f t="shared" si="0"/>
        <v>12.06</v>
      </c>
      <c r="G31" s="40">
        <f t="shared" si="0"/>
        <v>10.050000000000001</v>
      </c>
      <c r="H31" s="40">
        <f t="shared" si="0"/>
        <v>11.040000000000001</v>
      </c>
      <c r="I31" s="40">
        <f t="shared" si="0"/>
        <v>11.849999999999998</v>
      </c>
      <c r="J31" s="39">
        <f t="shared" si="0"/>
        <v>11.100000000000001</v>
      </c>
      <c r="K31" s="39">
        <f t="shared" si="0"/>
        <v>10.6</v>
      </c>
      <c r="L31" s="39">
        <f t="shared" si="0"/>
        <v>10.88</v>
      </c>
      <c r="M31" s="39">
        <f t="shared" si="0"/>
        <v>10.32</v>
      </c>
      <c r="N31" s="39"/>
      <c r="O31" s="39">
        <f t="shared" ref="O31:Z31" si="1">O29-O30</f>
        <v>10.660000000000002</v>
      </c>
      <c r="P31" s="39">
        <f t="shared" si="1"/>
        <v>10.29</v>
      </c>
      <c r="Q31" s="39">
        <f t="shared" si="1"/>
        <v>9.8100000000000023</v>
      </c>
      <c r="R31" s="39">
        <f t="shared" si="1"/>
        <v>11.149999999999999</v>
      </c>
      <c r="S31" s="39">
        <f t="shared" si="1"/>
        <v>11.68</v>
      </c>
      <c r="T31" s="39">
        <f t="shared" si="1"/>
        <v>11.600000000000001</v>
      </c>
      <c r="U31" s="39">
        <f t="shared" si="1"/>
        <v>10.57</v>
      </c>
      <c r="V31" s="39">
        <f t="shared" si="1"/>
        <v>11.75</v>
      </c>
      <c r="W31" s="39">
        <f t="shared" si="1"/>
        <v>10.520000000000001</v>
      </c>
      <c r="X31" s="39">
        <f t="shared" si="1"/>
        <v>9.9600000000000009</v>
      </c>
      <c r="Y31" s="39">
        <f t="shared" si="1"/>
        <v>9.4799999999999986</v>
      </c>
      <c r="Z31" s="39">
        <f t="shared" si="1"/>
        <v>8.7899999999999991</v>
      </c>
      <c r="AB31" s="39">
        <f t="shared" ref="AB31:AM31" si="2">AB29-AB30</f>
        <v>11.229999999999999</v>
      </c>
      <c r="AC31" s="39">
        <f t="shared" si="2"/>
        <v>10.56</v>
      </c>
      <c r="AD31" s="39">
        <f t="shared" si="2"/>
        <v>9.5799999999999983</v>
      </c>
      <c r="AE31" s="39">
        <f t="shared" si="2"/>
        <v>10.59</v>
      </c>
      <c r="AF31" s="39">
        <f t="shared" si="2"/>
        <v>9.7099999999999991</v>
      </c>
      <c r="AG31" s="39">
        <f t="shared" si="2"/>
        <v>9.16</v>
      </c>
      <c r="AH31" s="39">
        <f t="shared" si="2"/>
        <v>9.43</v>
      </c>
      <c r="AI31" s="39">
        <f t="shared" si="2"/>
        <v>9.8699999999999992</v>
      </c>
      <c r="AJ31" s="39">
        <f t="shared" si="2"/>
        <v>10.010000000000002</v>
      </c>
      <c r="AK31" s="39">
        <f t="shared" si="2"/>
        <v>10.42</v>
      </c>
      <c r="AL31" s="39">
        <f t="shared" si="2"/>
        <v>10.059999999999999</v>
      </c>
      <c r="AM31" s="39">
        <f t="shared" si="2"/>
        <v>10.69</v>
      </c>
      <c r="AN31" s="39"/>
      <c r="AO31" s="39">
        <f t="shared" ref="AO31:AZ31" si="3">+AO29-AO30</f>
        <v>10.238007994450836</v>
      </c>
      <c r="AP31" s="39">
        <f t="shared" si="3"/>
        <v>9.7971189260102562</v>
      </c>
      <c r="AQ31" s="39">
        <f t="shared" si="3"/>
        <v>9.4434934042802272</v>
      </c>
      <c r="AR31" s="39">
        <f t="shared" si="3"/>
        <v>8.9502939372950294</v>
      </c>
      <c r="AS31" s="39">
        <f t="shared" si="3"/>
        <v>9.1286502633647348</v>
      </c>
      <c r="AT31" s="39">
        <f t="shared" si="3"/>
        <v>8.6970424770395578</v>
      </c>
      <c r="AU31" s="39">
        <f t="shared" si="3"/>
        <v>8.173681631262367</v>
      </c>
      <c r="AV31" s="39">
        <f t="shared" si="3"/>
        <v>8.8297037522559698</v>
      </c>
      <c r="AW31" s="39">
        <f t="shared" si="3"/>
        <v>8.7299426956316548</v>
      </c>
      <c r="AX31" s="39">
        <f t="shared" si="3"/>
        <v>9.2897607237591213</v>
      </c>
      <c r="AY31" s="39">
        <f t="shared" si="3"/>
        <v>9.3722711874502078</v>
      </c>
      <c r="AZ31" s="39">
        <f t="shared" si="3"/>
        <v>8.728847976052247</v>
      </c>
      <c r="BA31" s="39"/>
      <c r="BB31" s="53">
        <f t="shared" ref="BB31:BM31" si="4">+BB29-BB30</f>
        <v>8.4618805284806307</v>
      </c>
      <c r="BC31" s="53">
        <f t="shared" si="4"/>
        <v>8.6006936124340498</v>
      </c>
      <c r="BD31" s="53">
        <f t="shared" si="4"/>
        <v>8.5266766640574545</v>
      </c>
      <c r="BE31" s="53">
        <f t="shared" si="4"/>
        <v>7.5880109316091797</v>
      </c>
      <c r="BF31" s="53">
        <f t="shared" si="4"/>
        <v>7.456867715638916</v>
      </c>
      <c r="BG31" s="53">
        <f t="shared" si="4"/>
        <v>7.6301659391152743</v>
      </c>
      <c r="BH31" s="53">
        <f t="shared" si="4"/>
        <v>7.8926040741661634</v>
      </c>
      <c r="BI31" s="53">
        <f t="shared" si="4"/>
        <v>7.7744506131939861</v>
      </c>
      <c r="BJ31" s="53">
        <f t="shared" si="4"/>
        <v>8.0214422174929876</v>
      </c>
      <c r="BK31" s="53">
        <f t="shared" si="4"/>
        <v>8.1506316287211824</v>
      </c>
      <c r="BL31" s="53">
        <f t="shared" si="4"/>
        <v>8.2619554334955829</v>
      </c>
      <c r="BM31" s="53">
        <f t="shared" si="4"/>
        <v>7.6036269314249623</v>
      </c>
      <c r="BO31" s="168">
        <f t="shared" ref="BO31:BZ31" si="5">+BO29-BO30</f>
        <v>8.5563426400674736</v>
      </c>
      <c r="BP31" s="168">
        <f t="shared" si="5"/>
        <v>8.6269309649919474</v>
      </c>
      <c r="BQ31" s="168">
        <f t="shared" si="5"/>
        <v>9.1829917059150414</v>
      </c>
      <c r="BR31" s="168">
        <f t="shared" si="5"/>
        <v>9.0503346716556816</v>
      </c>
      <c r="BS31" s="168">
        <f t="shared" si="5"/>
        <v>8.308536667840988</v>
      </c>
      <c r="BT31" s="168">
        <f t="shared" si="5"/>
        <v>7.7082283594282757</v>
      </c>
      <c r="BU31" s="168">
        <f t="shared" si="5"/>
        <v>6.4824765508171893</v>
      </c>
      <c r="BV31" s="168">
        <f t="shared" si="5"/>
        <v>7.1221411698588195</v>
      </c>
      <c r="BW31" s="168">
        <f t="shared" si="5"/>
        <v>6.6334434696843179</v>
      </c>
      <c r="BX31" s="168">
        <f t="shared" si="5"/>
        <v>7.4048353118972443</v>
      </c>
      <c r="BY31" s="168">
        <f t="shared" si="5"/>
        <v>7.1280871894635798</v>
      </c>
      <c r="BZ31" s="168">
        <f t="shared" si="5"/>
        <v>5.9351092745435405</v>
      </c>
      <c r="CA31" s="168"/>
      <c r="CB31" s="168">
        <f t="shared" ref="CB31:EH31" si="6">+CB29-CB30</f>
        <v>6.108933617258911</v>
      </c>
      <c r="CC31" s="168">
        <f t="shared" si="6"/>
        <v>5.197616663131809</v>
      </c>
      <c r="CD31" s="168">
        <f t="shared" si="6"/>
        <v>7.0857056487533079</v>
      </c>
      <c r="CE31" s="168">
        <f t="shared" si="6"/>
        <v>6.4541918069057012</v>
      </c>
      <c r="CF31" s="168">
        <f t="shared" si="6"/>
        <v>5.9953351509155208</v>
      </c>
      <c r="CG31" s="168">
        <f t="shared" si="6"/>
        <v>6.5363106260915433</v>
      </c>
      <c r="CH31" s="168">
        <f t="shared" si="6"/>
        <v>5.9938418493953876</v>
      </c>
      <c r="CI31" s="168">
        <f t="shared" si="6"/>
        <v>6.2252186249394867</v>
      </c>
      <c r="CJ31" s="168">
        <f t="shared" si="6"/>
        <v>5.7765724590628995</v>
      </c>
      <c r="CK31" s="168">
        <f t="shared" si="6"/>
        <v>5.5835576331171097</v>
      </c>
      <c r="CL31" s="168">
        <f t="shared" si="6"/>
        <v>4.4420325388787187</v>
      </c>
      <c r="CM31" s="168">
        <f t="shared" si="6"/>
        <v>4.6173483331108027</v>
      </c>
      <c r="CN31" s="168"/>
      <c r="CO31" s="168">
        <f t="shared" si="6"/>
        <v>5.6367421585876105</v>
      </c>
      <c r="CP31" s="168">
        <f t="shared" si="6"/>
        <v>7.2631100531823929</v>
      </c>
      <c r="CQ31" s="168">
        <f t="shared" si="6"/>
        <v>7.0138899568583817</v>
      </c>
      <c r="CR31" s="168">
        <f t="shared" si="6"/>
        <v>5.7017457885630396</v>
      </c>
      <c r="CS31" s="168">
        <f t="shared" si="6"/>
        <v>6.8244670397231175</v>
      </c>
      <c r="CT31" s="168">
        <f t="shared" si="6"/>
        <v>5.8169817003520485</v>
      </c>
      <c r="CU31" s="168">
        <f t="shared" si="6"/>
        <v>5.4885889435319797</v>
      </c>
      <c r="CV31" s="168">
        <f t="shared" si="6"/>
        <v>6.4424136379543562</v>
      </c>
      <c r="CW31" s="168">
        <f t="shared" si="6"/>
        <v>6.2327686188532976</v>
      </c>
      <c r="CX31" s="168">
        <f t="shared" si="6"/>
        <v>4.5564556957739697</v>
      </c>
      <c r="CY31" s="168">
        <f t="shared" si="6"/>
        <v>7.0677154565826665</v>
      </c>
      <c r="CZ31" s="168">
        <f t="shared" si="6"/>
        <v>3.6783933421814154</v>
      </c>
      <c r="DA31" s="168"/>
      <c r="DB31" s="168">
        <f t="shared" si="6"/>
        <v>4.7048272645237024</v>
      </c>
      <c r="DC31" s="168">
        <f t="shared" si="6"/>
        <v>4.7171908651558407</v>
      </c>
      <c r="DD31" s="168">
        <f t="shared" si="6"/>
        <v>3.8972109552860399</v>
      </c>
      <c r="DE31" s="168">
        <f t="shared" si="6"/>
        <v>3.7930598896622723</v>
      </c>
      <c r="DF31" s="168">
        <f t="shared" si="6"/>
        <v>2.3962031684118852</v>
      </c>
      <c r="DG31" s="168">
        <f t="shared" si="6"/>
        <v>2.4987174379529211</v>
      </c>
      <c r="DH31" s="168">
        <f t="shared" si="6"/>
        <v>3.7309004170236015</v>
      </c>
      <c r="DI31" s="168">
        <f t="shared" si="6"/>
        <v>6.6039517866745889</v>
      </c>
      <c r="DJ31" s="168">
        <f t="shared" si="6"/>
        <v>3.8265194407588705</v>
      </c>
      <c r="DK31" s="168">
        <f t="shared" si="6"/>
        <v>1.3244494286403903</v>
      </c>
      <c r="DL31" s="168">
        <f t="shared" si="6"/>
        <v>1.949352135460698</v>
      </c>
      <c r="DM31" s="168">
        <f t="shared" si="6"/>
        <v>1.8636231350618431</v>
      </c>
      <c r="DN31" s="168"/>
      <c r="DO31" s="168">
        <f t="shared" si="6"/>
        <v>3.6105216346780757</v>
      </c>
      <c r="DP31" s="168">
        <f t="shared" si="6"/>
        <v>7.7353745999294254</v>
      </c>
      <c r="DQ31" s="168">
        <f t="shared" si="6"/>
        <v>7.6576012682551244</v>
      </c>
      <c r="DR31" s="168">
        <f t="shared" si="6"/>
        <v>7.1686171896304423</v>
      </c>
      <c r="DS31" s="168">
        <f t="shared" si="6"/>
        <v>5.9394646729741964</v>
      </c>
      <c r="DT31" s="168">
        <f t="shared" si="6"/>
        <v>3.858561854855072</v>
      </c>
      <c r="DU31" s="168">
        <f t="shared" si="6"/>
        <v>5.1246133905714188</v>
      </c>
      <c r="DV31" s="168">
        <f t="shared" si="6"/>
        <v>5.4025034841112589</v>
      </c>
      <c r="DW31" s="168">
        <f t="shared" si="6"/>
        <v>5.4871867571005861</v>
      </c>
      <c r="DX31" s="168">
        <f t="shared" si="6"/>
        <v>6.8984790599777206</v>
      </c>
      <c r="DY31" s="168">
        <f t="shared" si="6"/>
        <v>4.4417932749231461</v>
      </c>
      <c r="DZ31" s="168">
        <f t="shared" si="6"/>
        <v>5.5678697891398059</v>
      </c>
      <c r="EA31" s="168"/>
      <c r="EB31" s="168">
        <f t="shared" si="6"/>
        <v>8.2327122618387101</v>
      </c>
      <c r="EC31" s="168">
        <f t="shared" si="6"/>
        <v>6.9855574518787993</v>
      </c>
      <c r="ED31" s="168">
        <f t="shared" si="6"/>
        <v>7.5862798863799554</v>
      </c>
      <c r="EE31" s="168">
        <f t="shared" si="6"/>
        <v>5.0324570596811071</v>
      </c>
      <c r="EF31" s="168">
        <f t="shared" si="6"/>
        <v>6.335070687441716</v>
      </c>
      <c r="EG31" s="168">
        <f t="shared" si="6"/>
        <v>3.4578510378054226</v>
      </c>
      <c r="EH31" s="168">
        <f t="shared" si="6"/>
        <v>4.8759767156731151</v>
      </c>
    </row>
    <row r="32" spans="1:144">
      <c r="A32" s="131" t="s">
        <v>94</v>
      </c>
      <c r="B32" s="40"/>
      <c r="C32" s="40"/>
      <c r="D32" s="40"/>
      <c r="E32" s="40"/>
      <c r="F32" s="40"/>
      <c r="G32" s="40"/>
      <c r="H32" s="40"/>
      <c r="I32" s="40"/>
      <c r="J32" s="39"/>
      <c r="K32" s="39"/>
      <c r="L32" s="39"/>
      <c r="M32" s="39"/>
      <c r="N32" s="39"/>
      <c r="AO32" s="53">
        <v>14.38961336738592</v>
      </c>
      <c r="AP32" s="53">
        <v>14.222971243083135</v>
      </c>
      <c r="AQ32" s="53">
        <v>14.41256733904577</v>
      </c>
      <c r="AR32" s="53">
        <v>14.121948209650071</v>
      </c>
      <c r="AS32" s="53">
        <v>14.111508430921225</v>
      </c>
      <c r="AT32" s="53">
        <v>13.19073873853676</v>
      </c>
      <c r="AU32" s="53">
        <v>13.276145523658599</v>
      </c>
      <c r="AV32" s="53">
        <v>12.84373576344878</v>
      </c>
      <c r="AW32" s="53">
        <v>13.070971259871612</v>
      </c>
      <c r="AX32" s="53">
        <v>12.379343805502854</v>
      </c>
      <c r="AY32" s="53">
        <v>12.582158328998887</v>
      </c>
      <c r="AZ32" s="53">
        <v>12.880473063540924</v>
      </c>
      <c r="BB32" s="53">
        <v>13.641924774391963</v>
      </c>
      <c r="BC32" s="53">
        <v>12.738880186348776</v>
      </c>
      <c r="BD32" s="53">
        <v>12.332423061685343</v>
      </c>
      <c r="BE32" s="53">
        <v>12.145853860349897</v>
      </c>
      <c r="BF32" s="53">
        <v>13.056152533213449</v>
      </c>
      <c r="BG32" s="53">
        <v>11.915284371962532</v>
      </c>
      <c r="BH32" s="53">
        <v>11.758666404954575</v>
      </c>
      <c r="BI32" s="53">
        <v>12.091727520430965</v>
      </c>
      <c r="BJ32" s="53">
        <v>12.014384226003887</v>
      </c>
      <c r="BK32" s="53">
        <v>11.547401429578956</v>
      </c>
      <c r="BL32" s="53">
        <v>11.909457628057041</v>
      </c>
      <c r="BM32" s="53">
        <v>12.407632728457125</v>
      </c>
      <c r="BO32" s="168">
        <v>11.388611941550117</v>
      </c>
      <c r="BP32" s="168">
        <v>11.654116990996927</v>
      </c>
      <c r="BQ32" s="168">
        <v>11.498052646210827</v>
      </c>
      <c r="BR32" s="168">
        <v>11.620563852690291</v>
      </c>
      <c r="BS32" s="168">
        <v>10.52135398649169</v>
      </c>
      <c r="BT32" s="168">
        <v>10.692505022201102</v>
      </c>
      <c r="BU32" s="168">
        <v>10.684593472667753</v>
      </c>
      <c r="BV32" s="168">
        <v>11.270021182845884</v>
      </c>
      <c r="BW32" s="168">
        <v>11.022300614346758</v>
      </c>
      <c r="BX32" s="168">
        <v>11.1062181674719</v>
      </c>
      <c r="BY32" s="168">
        <v>11.434673213688301</v>
      </c>
      <c r="BZ32" s="168">
        <v>10.907616054075158</v>
      </c>
      <c r="CA32" s="168"/>
      <c r="CB32" s="168">
        <v>10.749958968029711</v>
      </c>
      <c r="CC32" s="168">
        <v>10.751078645747791</v>
      </c>
      <c r="CD32" s="168">
        <v>10.209106347644482</v>
      </c>
      <c r="CE32" s="168">
        <v>10.78892723675485</v>
      </c>
      <c r="CF32" s="168">
        <v>10.716197625146052</v>
      </c>
      <c r="CG32" s="168">
        <v>10.915306729841829</v>
      </c>
      <c r="CH32" s="168">
        <v>10.737509968641458</v>
      </c>
      <c r="CI32" s="168">
        <v>11.228830652111046</v>
      </c>
      <c r="CJ32" s="168">
        <v>10.434586437153209</v>
      </c>
      <c r="CK32" s="53">
        <v>10.990106002195942</v>
      </c>
      <c r="CL32" s="53">
        <v>10.98923816074173</v>
      </c>
      <c r="CM32" s="53">
        <v>10.468566492276064</v>
      </c>
      <c r="CO32" s="53">
        <v>10.897893969419929</v>
      </c>
      <c r="CP32" s="53">
        <v>10.542442601783488</v>
      </c>
      <c r="CQ32" s="53">
        <v>10.51660165338458</v>
      </c>
      <c r="CR32" s="53">
        <v>10.339858789941196</v>
      </c>
      <c r="CS32" s="53">
        <v>10.001536544228683</v>
      </c>
      <c r="CT32" s="53">
        <v>11.01226165463963</v>
      </c>
      <c r="CU32" s="53">
        <v>10.310711843806075</v>
      </c>
      <c r="CV32" s="236">
        <v>9.9565667817862771</v>
      </c>
      <c r="CW32" s="236">
        <v>10.023195658767763</v>
      </c>
      <c r="CX32" s="236">
        <v>9.8379639739841629</v>
      </c>
      <c r="CY32" s="195">
        <v>9.0833231098746747</v>
      </c>
      <c r="CZ32" s="53">
        <v>9.792839011032564</v>
      </c>
      <c r="DB32" s="53">
        <v>9.4976008675429178</v>
      </c>
      <c r="DC32" s="53">
        <v>10.533416977896687</v>
      </c>
      <c r="DD32" s="53">
        <v>9.3104299696659609</v>
      </c>
      <c r="DE32" s="53">
        <v>9.9066344096319376</v>
      </c>
      <c r="DF32" s="53">
        <v>10.675451550665711</v>
      </c>
      <c r="DG32" s="53">
        <v>10.446746051642821</v>
      </c>
      <c r="DH32" s="53">
        <v>10.391694071598979</v>
      </c>
      <c r="DI32" s="53">
        <v>10.761150528910003</v>
      </c>
      <c r="DJ32" s="53">
        <v>10.289453997754222</v>
      </c>
      <c r="DK32" s="53">
        <v>10.494567315914082</v>
      </c>
      <c r="DL32" s="53">
        <v>10.945508191891184</v>
      </c>
      <c r="DM32" s="53">
        <v>10.508047786010241</v>
      </c>
      <c r="DO32" s="53">
        <v>10.023809750995829</v>
      </c>
      <c r="DP32" s="53">
        <v>8.2198513011580516</v>
      </c>
      <c r="DQ32" s="53">
        <v>7.9614372120299013</v>
      </c>
      <c r="DR32" s="53">
        <v>9.4144135747411308</v>
      </c>
      <c r="DS32" s="53">
        <v>9.2394862491270082</v>
      </c>
      <c r="DT32" s="53">
        <v>9.136015155504138</v>
      </c>
      <c r="DU32" s="53">
        <v>9.2162857712717532</v>
      </c>
      <c r="DV32" s="53">
        <v>9.4593075323304188</v>
      </c>
      <c r="DW32" s="53">
        <v>9.6809729971558518</v>
      </c>
      <c r="DX32" s="53">
        <v>8.9214322184110397</v>
      </c>
      <c r="DY32" s="53">
        <v>9.1592034653596066</v>
      </c>
      <c r="DZ32" s="53">
        <v>8.1036316723599846</v>
      </c>
      <c r="EB32" s="53">
        <v>7.6685505308279298</v>
      </c>
      <c r="EC32" s="53">
        <v>8.6836775653830713</v>
      </c>
      <c r="ED32" s="53">
        <v>8.6457112922886861</v>
      </c>
      <c r="EE32" s="53">
        <v>7.499929488639915</v>
      </c>
      <c r="EF32" s="53">
        <v>9.6099418790294528</v>
      </c>
      <c r="EG32" s="53">
        <v>8.5960126640575751</v>
      </c>
      <c r="EH32" s="53">
        <v>7.1167723971840351</v>
      </c>
    </row>
    <row r="33" spans="1:144">
      <c r="A33" s="131" t="s">
        <v>95</v>
      </c>
      <c r="B33" s="40"/>
      <c r="C33" s="40"/>
      <c r="D33" s="40"/>
      <c r="E33" s="40"/>
      <c r="F33" s="40"/>
      <c r="G33" s="40"/>
      <c r="H33" s="40"/>
      <c r="I33" s="40"/>
      <c r="J33" s="39"/>
      <c r="K33" s="39"/>
      <c r="L33" s="39"/>
      <c r="M33" s="39"/>
      <c r="N33" s="39"/>
      <c r="AO33" s="53">
        <v>5.923866223862178</v>
      </c>
      <c r="AP33" s="53">
        <v>6.6346906061254369</v>
      </c>
      <c r="AQ33" s="53">
        <v>6.4074840975800367</v>
      </c>
      <c r="AR33" s="53">
        <v>6.835902488521544</v>
      </c>
      <c r="AS33" s="53">
        <v>6.4400605234699375</v>
      </c>
      <c r="AT33" s="53">
        <v>6.2882453092337789</v>
      </c>
      <c r="AU33" s="53">
        <v>5.9817259577027526</v>
      </c>
      <c r="AV33" s="53">
        <v>5.8489845681512582</v>
      </c>
      <c r="AW33" s="53">
        <v>6.4160080439423099</v>
      </c>
      <c r="AX33" s="53">
        <v>5.6671918759407811</v>
      </c>
      <c r="AY33" s="53">
        <v>6.2885907727672317</v>
      </c>
      <c r="AZ33" s="53">
        <v>6.0225588068636302</v>
      </c>
      <c r="BB33" s="53">
        <v>5.8980426744935963</v>
      </c>
      <c r="BC33" s="53">
        <v>5.8113615114330015</v>
      </c>
      <c r="BD33" s="53">
        <v>6.007410624608351</v>
      </c>
      <c r="BE33" s="53">
        <v>6.3486725308375505</v>
      </c>
      <c r="BF33" s="53">
        <v>5.778882449683195</v>
      </c>
      <c r="BG33" s="53">
        <v>6.2460793054438399</v>
      </c>
      <c r="BH33" s="53">
        <v>5.5255397070116974</v>
      </c>
      <c r="BI33" s="53">
        <v>6.0001502797258146</v>
      </c>
      <c r="BJ33" s="53">
        <v>6.6709454189741608</v>
      </c>
      <c r="BK33" s="53">
        <v>6.5291539446912115</v>
      </c>
      <c r="BL33" s="53">
        <v>6.6914282227506607</v>
      </c>
      <c r="BM33" s="53">
        <v>6.7237011966775206</v>
      </c>
      <c r="BO33" s="168">
        <v>5.49482626634701</v>
      </c>
      <c r="BP33" s="168">
        <v>5.5539977981705109</v>
      </c>
      <c r="BQ33" s="168">
        <v>5.5772768470703982</v>
      </c>
      <c r="BR33" s="168">
        <v>4.0317459037467174</v>
      </c>
      <c r="BS33" s="168">
        <v>5.0746412257195015</v>
      </c>
      <c r="BT33" s="168">
        <v>6.6889028405030393</v>
      </c>
      <c r="BU33" s="168">
        <v>5.8720709498548542</v>
      </c>
      <c r="BV33" s="168">
        <v>5.8409372227949712</v>
      </c>
      <c r="BW33" s="168">
        <v>5.6123967872292448</v>
      </c>
      <c r="BX33" s="168">
        <v>6.5999513259928904</v>
      </c>
      <c r="BY33" s="168">
        <v>5.582067649938204</v>
      </c>
      <c r="BZ33" s="168">
        <v>6.4649426323869514</v>
      </c>
      <c r="CA33" s="168"/>
      <c r="CB33" s="168">
        <v>8.2842334788790417</v>
      </c>
      <c r="CC33" s="168">
        <v>7.6296146728701997</v>
      </c>
      <c r="CD33" s="168">
        <v>6.2562529627850205</v>
      </c>
      <c r="CE33" s="168">
        <v>5.9960060475037249</v>
      </c>
      <c r="CF33" s="168">
        <v>5.2841822882952387</v>
      </c>
      <c r="CG33" s="168">
        <v>5.3877765654307286</v>
      </c>
      <c r="CH33" s="168">
        <v>6.0287854743745708</v>
      </c>
      <c r="CI33" s="168">
        <v>6.5964965888088321</v>
      </c>
      <c r="CJ33" s="168">
        <v>6.5188127922485792</v>
      </c>
      <c r="CK33" s="53">
        <v>5.1377722746047505</v>
      </c>
      <c r="CL33" s="53">
        <v>6.4032740916257946</v>
      </c>
      <c r="CM33" s="53">
        <v>5.5211450708834215</v>
      </c>
      <c r="CO33" s="53">
        <v>5.6389750917532657</v>
      </c>
      <c r="CP33" s="53">
        <v>6.8662003701583725</v>
      </c>
      <c r="CQ33" s="53">
        <v>5.6932291018818768</v>
      </c>
      <c r="CR33" s="53">
        <v>5.6399902855299215</v>
      </c>
      <c r="CS33" s="53">
        <v>5.4271517698208207</v>
      </c>
      <c r="CT33" s="53">
        <v>5.5691296800026251</v>
      </c>
      <c r="CU33" s="53">
        <v>6.1668476486917978</v>
      </c>
      <c r="CV33" s="236">
        <v>6.8454918954974797</v>
      </c>
      <c r="CW33" s="236">
        <v>5.3114233822974057</v>
      </c>
      <c r="CX33" s="236">
        <v>6.4985177488518726</v>
      </c>
      <c r="CY33" s="195">
        <v>6.2788929469834365</v>
      </c>
      <c r="CZ33" s="53">
        <v>5.3142347881460692</v>
      </c>
      <c r="DB33" s="53">
        <v>5.5810696790670375</v>
      </c>
      <c r="DC33" s="53">
        <v>5.0521288880656812</v>
      </c>
      <c r="DD33" s="53">
        <v>5.5526055444873323</v>
      </c>
      <c r="DE33" s="53">
        <v>6.1338855450515091</v>
      </c>
      <c r="DF33" s="53">
        <v>5.882885669948875</v>
      </c>
      <c r="DG33" s="53">
        <v>5.8821081617954558</v>
      </c>
      <c r="DH33" s="53">
        <v>5.5747732492430666</v>
      </c>
      <c r="DI33" s="53">
        <v>6.8850232480325779</v>
      </c>
      <c r="DJ33" s="53">
        <v>5.9446800550719772</v>
      </c>
      <c r="DK33" s="53">
        <v>5.7106274073607599</v>
      </c>
      <c r="DL33" s="53">
        <v>5.3321355640089143</v>
      </c>
      <c r="DM33" s="53">
        <v>5.6480836410229394</v>
      </c>
      <c r="DO33" s="53">
        <v>6.1724257419712094</v>
      </c>
      <c r="DP33" s="53">
        <v>5.9415838444718307</v>
      </c>
      <c r="DQ33" s="53">
        <v>5.9066230103284427</v>
      </c>
      <c r="DR33" s="53">
        <v>5.273390041657362</v>
      </c>
      <c r="DS33" s="53">
        <v>5.3146867681981558</v>
      </c>
      <c r="DT33" s="53">
        <v>5.1978774626880755</v>
      </c>
      <c r="DU33" s="53">
        <v>4.7381786645905617</v>
      </c>
      <c r="DV33" s="53">
        <v>4.8466806383201515</v>
      </c>
      <c r="DW33" s="53">
        <v>5.3515478328725443</v>
      </c>
      <c r="DX33" s="53">
        <v>5.0853067294405863</v>
      </c>
      <c r="DY33" s="53">
        <v>5.2936021807670777</v>
      </c>
      <c r="DZ33" s="53">
        <v>5.0041599629977638</v>
      </c>
      <c r="EB33" s="53">
        <v>4.1913999655675145</v>
      </c>
      <c r="EC33" s="53">
        <v>4.4459594622750176</v>
      </c>
      <c r="ED33" s="53">
        <v>4.6401642941859116</v>
      </c>
      <c r="EE33" s="53">
        <v>4.058751419962948</v>
      </c>
      <c r="EF33" s="53">
        <v>3.7706297357066894</v>
      </c>
      <c r="EG33" s="53">
        <v>3.7656901857925522</v>
      </c>
      <c r="EH33" s="53">
        <v>3.7085294247657146</v>
      </c>
    </row>
    <row r="34" spans="1:144">
      <c r="A34" s="92" t="s">
        <v>74</v>
      </c>
      <c r="B34" s="40"/>
      <c r="C34" s="40"/>
      <c r="D34" s="40"/>
      <c r="E34" s="40"/>
      <c r="F34" s="40"/>
      <c r="G34" s="40"/>
      <c r="H34" s="40"/>
      <c r="I34" s="40"/>
      <c r="J34" s="39"/>
      <c r="K34" s="39"/>
      <c r="L34" s="39"/>
      <c r="M34" s="39"/>
      <c r="N34" s="39"/>
      <c r="O34" s="39"/>
      <c r="P34" s="39"/>
      <c r="Q34" s="39"/>
      <c r="R34" s="39"/>
      <c r="S34" s="39"/>
      <c r="T34" s="39"/>
      <c r="U34" s="39"/>
      <c r="V34" s="39"/>
      <c r="W34" s="39"/>
      <c r="X34" s="39"/>
      <c r="Y34" s="39"/>
      <c r="Z34" s="39"/>
      <c r="AB34" s="39"/>
      <c r="AC34" s="39"/>
      <c r="AD34" s="39"/>
      <c r="AE34" s="39"/>
      <c r="AF34" s="39"/>
      <c r="AG34" s="39"/>
      <c r="AH34" s="39"/>
      <c r="AI34" s="39"/>
      <c r="AJ34" s="39"/>
      <c r="AK34" s="39"/>
      <c r="AL34" s="39"/>
      <c r="AM34" s="39"/>
      <c r="AN34" s="39"/>
      <c r="AO34" s="39">
        <f t="shared" ref="AO34:AZ34" si="7">+AO32-AO33</f>
        <v>8.4657471435237426</v>
      </c>
      <c r="AP34" s="39">
        <f t="shared" si="7"/>
        <v>7.5882806369576983</v>
      </c>
      <c r="AQ34" s="39">
        <f t="shared" si="7"/>
        <v>8.0050832414657336</v>
      </c>
      <c r="AR34" s="39">
        <f t="shared" si="7"/>
        <v>7.2860457211285272</v>
      </c>
      <c r="AS34" s="39">
        <f t="shared" si="7"/>
        <v>7.6714479074512871</v>
      </c>
      <c r="AT34" s="39">
        <f t="shared" si="7"/>
        <v>6.9024934293029814</v>
      </c>
      <c r="AU34" s="39">
        <f t="shared" si="7"/>
        <v>7.2944195659558462</v>
      </c>
      <c r="AV34" s="39">
        <f t="shared" si="7"/>
        <v>6.9947511952975221</v>
      </c>
      <c r="AW34" s="39">
        <f t="shared" si="7"/>
        <v>6.6549632159293024</v>
      </c>
      <c r="AX34" s="39">
        <f t="shared" si="7"/>
        <v>6.7121519295620731</v>
      </c>
      <c r="AY34" s="39">
        <f t="shared" si="7"/>
        <v>6.2935675562316549</v>
      </c>
      <c r="AZ34" s="39">
        <f t="shared" si="7"/>
        <v>6.8579142566772937</v>
      </c>
      <c r="BA34" s="39"/>
      <c r="BB34" s="53">
        <f t="shared" ref="BB34:BM34" si="8">+BB32-BB33</f>
        <v>7.7438820998983671</v>
      </c>
      <c r="BC34" s="53">
        <f t="shared" si="8"/>
        <v>6.9275186749157749</v>
      </c>
      <c r="BD34" s="53">
        <f t="shared" si="8"/>
        <v>6.3250124370769925</v>
      </c>
      <c r="BE34" s="53">
        <f t="shared" si="8"/>
        <v>5.7971813295123464</v>
      </c>
      <c r="BF34" s="53">
        <f t="shared" si="8"/>
        <v>7.2772700835302544</v>
      </c>
      <c r="BG34" s="53">
        <f t="shared" si="8"/>
        <v>5.6692050665186917</v>
      </c>
      <c r="BH34" s="53">
        <f t="shared" si="8"/>
        <v>6.2331266979428772</v>
      </c>
      <c r="BI34" s="53">
        <f t="shared" si="8"/>
        <v>6.0915772407051501</v>
      </c>
      <c r="BJ34" s="53">
        <f t="shared" si="8"/>
        <v>5.3434388070297265</v>
      </c>
      <c r="BK34" s="53">
        <f t="shared" si="8"/>
        <v>5.0182474848877447</v>
      </c>
      <c r="BL34" s="53">
        <f t="shared" si="8"/>
        <v>5.21802940530638</v>
      </c>
      <c r="BM34" s="53">
        <f t="shared" si="8"/>
        <v>5.6839315317796046</v>
      </c>
      <c r="BO34" s="53">
        <f t="shared" ref="BO34:BZ34" si="9">+BO32-BO33</f>
        <v>5.893785675203107</v>
      </c>
      <c r="BP34" s="53">
        <f t="shared" si="9"/>
        <v>6.1001191928264165</v>
      </c>
      <c r="BQ34" s="53">
        <f t="shared" si="9"/>
        <v>5.9207757991404284</v>
      </c>
      <c r="BR34" s="53">
        <f t="shared" si="9"/>
        <v>7.5888179489435732</v>
      </c>
      <c r="BS34" s="53">
        <f t="shared" si="9"/>
        <v>5.4467127607721881</v>
      </c>
      <c r="BT34" s="53">
        <f t="shared" si="9"/>
        <v>4.0036021816980627</v>
      </c>
      <c r="BU34" s="53">
        <f t="shared" si="9"/>
        <v>4.8125225228128992</v>
      </c>
      <c r="BV34" s="53">
        <f t="shared" si="9"/>
        <v>5.4290839600509129</v>
      </c>
      <c r="BW34" s="53">
        <f t="shared" si="9"/>
        <v>5.4099038271175131</v>
      </c>
      <c r="BX34" s="53">
        <f t="shared" si="9"/>
        <v>4.5062668414790092</v>
      </c>
      <c r="BY34" s="53">
        <f t="shared" si="9"/>
        <v>5.8526055637500969</v>
      </c>
      <c r="BZ34" s="53">
        <f t="shared" si="9"/>
        <v>4.4426734216882062</v>
      </c>
      <c r="CB34" s="53">
        <f t="shared" ref="CB34:EH34" si="10">+CB32-CB33</f>
        <v>2.4657254891506692</v>
      </c>
      <c r="CC34" s="53">
        <f t="shared" si="10"/>
        <v>3.1214639728775913</v>
      </c>
      <c r="CD34" s="53">
        <f t="shared" si="10"/>
        <v>3.9528533848594618</v>
      </c>
      <c r="CE34" s="53">
        <f t="shared" si="10"/>
        <v>4.7929211892511248</v>
      </c>
      <c r="CF34" s="53">
        <f t="shared" si="10"/>
        <v>5.4320153368508128</v>
      </c>
      <c r="CG34" s="53">
        <f t="shared" si="10"/>
        <v>5.5275301644111003</v>
      </c>
      <c r="CH34" s="53">
        <f t="shared" si="10"/>
        <v>4.7087244942668871</v>
      </c>
      <c r="CI34" s="53">
        <f t="shared" si="10"/>
        <v>4.6323340633022143</v>
      </c>
      <c r="CJ34" s="53">
        <f t="shared" si="10"/>
        <v>3.9157736449046299</v>
      </c>
      <c r="CK34" s="53">
        <f t="shared" si="10"/>
        <v>5.8523337275911915</v>
      </c>
      <c r="CL34" s="53">
        <f t="shared" si="10"/>
        <v>4.5859640691159349</v>
      </c>
      <c r="CM34" s="53">
        <f t="shared" si="10"/>
        <v>4.9474214213926428</v>
      </c>
      <c r="CO34" s="53">
        <f t="shared" si="10"/>
        <v>5.2589188776666633</v>
      </c>
      <c r="CP34" s="53">
        <f t="shared" si="10"/>
        <v>3.6762422316251158</v>
      </c>
      <c r="CQ34" s="53">
        <f t="shared" si="10"/>
        <v>4.8233725515027031</v>
      </c>
      <c r="CR34" s="53">
        <f t="shared" si="10"/>
        <v>4.6998685044112749</v>
      </c>
      <c r="CS34" s="53">
        <f t="shared" si="10"/>
        <v>4.5743847744078625</v>
      </c>
      <c r="CT34" s="53">
        <f t="shared" si="10"/>
        <v>5.443131974637005</v>
      </c>
      <c r="CU34" s="53">
        <f t="shared" si="10"/>
        <v>4.1438641951142774</v>
      </c>
      <c r="CV34" s="53">
        <f t="shared" si="10"/>
        <v>3.1110748862887974</v>
      </c>
      <c r="CW34" s="53">
        <f t="shared" si="10"/>
        <v>4.7117722764703576</v>
      </c>
      <c r="CX34" s="53">
        <f t="shared" si="10"/>
        <v>3.3394462251322903</v>
      </c>
      <c r="CY34" s="53">
        <f t="shared" si="10"/>
        <v>2.8044301628912383</v>
      </c>
      <c r="CZ34" s="53">
        <f t="shared" si="10"/>
        <v>4.4786042228864948</v>
      </c>
      <c r="DB34" s="53">
        <f t="shared" si="10"/>
        <v>3.9165311884758802</v>
      </c>
      <c r="DC34" s="53">
        <f t="shared" si="10"/>
        <v>5.4812880898310059</v>
      </c>
      <c r="DD34" s="53">
        <f t="shared" si="10"/>
        <v>3.7578244251786286</v>
      </c>
      <c r="DE34" s="53">
        <f t="shared" si="10"/>
        <v>3.7727488645804286</v>
      </c>
      <c r="DF34" s="53">
        <f t="shared" si="10"/>
        <v>4.7925658807168361</v>
      </c>
      <c r="DG34" s="53">
        <f t="shared" si="10"/>
        <v>4.564637889847365</v>
      </c>
      <c r="DH34" s="53">
        <f t="shared" si="10"/>
        <v>4.8169208223559119</v>
      </c>
      <c r="DI34" s="53">
        <f t="shared" si="10"/>
        <v>3.8761272808774248</v>
      </c>
      <c r="DJ34" s="53">
        <f t="shared" si="10"/>
        <v>4.3447739426822451</v>
      </c>
      <c r="DK34" s="53">
        <f t="shared" si="10"/>
        <v>4.7839399085533225</v>
      </c>
      <c r="DL34" s="53">
        <f t="shared" si="10"/>
        <v>5.6133726278822698</v>
      </c>
      <c r="DM34" s="53">
        <f t="shared" si="10"/>
        <v>4.8599641449873019</v>
      </c>
      <c r="DO34" s="53">
        <f t="shared" si="10"/>
        <v>3.8513840090246196</v>
      </c>
      <c r="DP34" s="53">
        <f t="shared" si="10"/>
        <v>2.2782674566862209</v>
      </c>
      <c r="DQ34" s="53">
        <f t="shared" si="10"/>
        <v>2.0548142017014586</v>
      </c>
      <c r="DR34" s="53">
        <f t="shared" si="10"/>
        <v>4.1410235330837688</v>
      </c>
      <c r="DS34" s="53">
        <f t="shared" si="10"/>
        <v>3.9247994809288524</v>
      </c>
      <c r="DT34" s="53">
        <f t="shared" si="10"/>
        <v>3.9381376928160625</v>
      </c>
      <c r="DU34" s="53">
        <f t="shared" si="10"/>
        <v>4.4781071066811915</v>
      </c>
      <c r="DV34" s="53">
        <f t="shared" si="10"/>
        <v>4.6126268940102673</v>
      </c>
      <c r="DW34" s="53">
        <f t="shared" si="10"/>
        <v>4.3294251642833075</v>
      </c>
      <c r="DX34" s="53">
        <f t="shared" si="10"/>
        <v>3.8361254889704535</v>
      </c>
      <c r="DY34" s="53">
        <f t="shared" si="10"/>
        <v>3.8656012845925289</v>
      </c>
      <c r="DZ34" s="53">
        <f t="shared" si="10"/>
        <v>3.0994717093622208</v>
      </c>
      <c r="EB34" s="53">
        <f t="shared" si="10"/>
        <v>3.4771505652604153</v>
      </c>
      <c r="EC34" s="53">
        <f t="shared" si="10"/>
        <v>4.2377181031080537</v>
      </c>
      <c r="ED34" s="53">
        <f t="shared" si="10"/>
        <v>4.0055469981027745</v>
      </c>
      <c r="EE34" s="53">
        <f t="shared" si="10"/>
        <v>3.4411780686769671</v>
      </c>
      <c r="EF34" s="53">
        <f t="shared" si="10"/>
        <v>5.839312143322763</v>
      </c>
      <c r="EG34" s="53">
        <f t="shared" si="10"/>
        <v>4.8303224782650229</v>
      </c>
      <c r="EH34" s="53">
        <f t="shared" si="10"/>
        <v>3.4082429724183205</v>
      </c>
    </row>
    <row r="35" spans="1:144" ht="6" customHeight="1">
      <c r="A35" s="304" t="s">
        <v>59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304"/>
      <c r="BW35" s="304"/>
      <c r="BX35" s="304"/>
      <c r="BY35" s="304"/>
      <c r="BZ35" s="304"/>
      <c r="CA35" s="304"/>
      <c r="CB35" s="304"/>
      <c r="CC35" s="304"/>
      <c r="CD35" s="304"/>
      <c r="CE35" s="304"/>
      <c r="CF35" s="304"/>
      <c r="CG35" s="304"/>
      <c r="CH35" s="304"/>
      <c r="CI35" s="304"/>
      <c r="CJ35" s="304"/>
      <c r="CK35" s="304"/>
      <c r="CL35" s="304"/>
      <c r="CM35" s="304"/>
      <c r="CN35" s="304"/>
      <c r="CO35" s="304"/>
      <c r="CP35" s="304"/>
      <c r="CQ35" s="304"/>
      <c r="CR35" s="304"/>
      <c r="CS35" s="304"/>
      <c r="CT35" s="304"/>
      <c r="CU35" s="304"/>
      <c r="CV35" s="304"/>
      <c r="CW35" s="304"/>
      <c r="CX35" s="304"/>
      <c r="CY35" s="304"/>
      <c r="CZ35" s="304"/>
      <c r="DA35" s="304"/>
      <c r="DB35" s="304"/>
      <c r="DC35" s="304"/>
      <c r="DD35" s="304"/>
      <c r="DE35" s="304"/>
      <c r="DF35" s="304"/>
      <c r="DG35" s="304"/>
      <c r="DH35" s="304"/>
      <c r="DI35" s="304"/>
      <c r="DJ35" s="304"/>
      <c r="DK35" s="304"/>
      <c r="DL35" s="304"/>
      <c r="DM35" s="304"/>
      <c r="DN35" s="304"/>
      <c r="DO35" s="304"/>
      <c r="DP35" s="304"/>
      <c r="DQ35" s="304"/>
      <c r="DR35" s="304"/>
      <c r="DS35" s="304"/>
      <c r="DT35" s="304"/>
      <c r="DU35" s="304"/>
      <c r="DV35" s="304"/>
      <c r="DW35" s="304"/>
      <c r="DX35" s="304"/>
      <c r="DY35" s="304"/>
      <c r="DZ35" s="304"/>
      <c r="EA35" s="304"/>
      <c r="EB35" s="304"/>
      <c r="EC35" s="304"/>
      <c r="ED35" s="304"/>
      <c r="EE35" s="304"/>
      <c r="EF35" s="304"/>
      <c r="EG35" s="304"/>
      <c r="EH35" s="304"/>
      <c r="EI35" s="304"/>
      <c r="EJ35" s="304"/>
      <c r="EK35" s="304"/>
      <c r="EL35" s="304"/>
      <c r="EM35" s="304"/>
      <c r="EN35" s="304"/>
    </row>
    <row r="36" spans="1:144" s="57" customFormat="1" ht="12.75" customHeight="1">
      <c r="A36" s="304"/>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4"/>
      <c r="BH36" s="304"/>
      <c r="BI36" s="304"/>
      <c r="BJ36" s="304"/>
      <c r="BK36" s="304"/>
      <c r="BL36" s="304"/>
      <c r="BM36" s="304"/>
      <c r="BN36" s="304"/>
      <c r="BO36" s="304"/>
      <c r="BP36" s="304"/>
      <c r="BQ36" s="304"/>
      <c r="BR36" s="304"/>
      <c r="BS36" s="304"/>
      <c r="BT36" s="304"/>
      <c r="BU36" s="304"/>
      <c r="BV36" s="304"/>
      <c r="BW36" s="304"/>
      <c r="BX36" s="304"/>
      <c r="BY36" s="304"/>
      <c r="BZ36" s="304"/>
      <c r="CA36" s="304"/>
      <c r="CB36" s="304"/>
      <c r="CC36" s="304"/>
      <c r="CD36" s="304"/>
      <c r="CE36" s="304"/>
      <c r="CF36" s="304"/>
      <c r="CG36" s="304"/>
      <c r="CH36" s="304"/>
      <c r="CI36" s="304"/>
      <c r="CJ36" s="304"/>
      <c r="CK36" s="304"/>
      <c r="CL36" s="304"/>
      <c r="CM36" s="304"/>
      <c r="CN36" s="304"/>
      <c r="CO36" s="304"/>
      <c r="CP36" s="304"/>
      <c r="CQ36" s="304"/>
      <c r="CR36" s="304"/>
      <c r="CS36" s="304"/>
      <c r="CT36" s="304"/>
      <c r="CU36" s="304"/>
      <c r="CV36" s="304"/>
      <c r="CW36" s="304"/>
      <c r="CX36" s="304"/>
      <c r="CY36" s="304"/>
      <c r="CZ36" s="304"/>
      <c r="DA36" s="304"/>
      <c r="DB36" s="304"/>
      <c r="DC36" s="304"/>
      <c r="DD36" s="304"/>
      <c r="DE36" s="304"/>
      <c r="DF36" s="304"/>
      <c r="DG36" s="304"/>
      <c r="DH36" s="304"/>
      <c r="DI36" s="304"/>
      <c r="DJ36" s="304"/>
      <c r="DK36" s="304"/>
      <c r="DL36" s="304"/>
      <c r="DM36" s="304"/>
      <c r="DN36" s="304"/>
      <c r="DO36" s="304"/>
      <c r="DP36" s="304"/>
      <c r="DQ36" s="304"/>
      <c r="DR36" s="304"/>
      <c r="DS36" s="304"/>
      <c r="DT36" s="304"/>
      <c r="DU36" s="304"/>
      <c r="DV36" s="304"/>
      <c r="DW36" s="304"/>
      <c r="DX36" s="304"/>
      <c r="DY36" s="304"/>
      <c r="DZ36" s="304"/>
      <c r="EA36" s="304"/>
      <c r="EB36" s="304"/>
      <c r="EC36" s="304"/>
      <c r="ED36" s="304"/>
      <c r="EE36" s="304"/>
      <c r="EF36" s="304"/>
      <c r="EG36" s="304"/>
      <c r="EH36" s="304"/>
      <c r="EI36" s="304"/>
      <c r="EJ36" s="304"/>
      <c r="EK36" s="304"/>
      <c r="EL36" s="304"/>
      <c r="EM36" s="304"/>
      <c r="EN36" s="304"/>
    </row>
    <row r="37" spans="1:144" s="57" customFormat="1" ht="6" customHeight="1">
      <c r="A37" s="171"/>
      <c r="B37" s="184"/>
      <c r="C37" s="184"/>
      <c r="D37" s="184"/>
      <c r="E37" s="184"/>
      <c r="F37" s="184"/>
      <c r="G37" s="184"/>
      <c r="H37" s="184"/>
      <c r="I37" s="184"/>
      <c r="J37" s="184"/>
      <c r="K37" s="184"/>
      <c r="L37" s="184"/>
      <c r="M37" s="184"/>
      <c r="N37" s="184"/>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L37" s="193"/>
    </row>
    <row r="38" spans="1:144">
      <c r="A38" s="165" t="s">
        <v>34</v>
      </c>
      <c r="B38" s="174">
        <v>36.042254189489853</v>
      </c>
      <c r="C38" s="174">
        <v>38.138684926592219</v>
      </c>
      <c r="D38" s="174">
        <v>40.044859221874873</v>
      </c>
      <c r="E38" s="174">
        <v>46.919324014350565</v>
      </c>
      <c r="F38" s="174">
        <v>49.018529323663415</v>
      </c>
      <c r="G38" s="174">
        <v>44.296775340755147</v>
      </c>
      <c r="H38" s="174">
        <v>47.650980793914755</v>
      </c>
      <c r="I38" s="174">
        <v>48.512534208703414</v>
      </c>
      <c r="J38" s="166">
        <v>44.104831601970744</v>
      </c>
      <c r="K38" s="166">
        <v>46.108831453137043</v>
      </c>
      <c r="L38" s="166">
        <v>55.4</v>
      </c>
      <c r="M38" s="166">
        <v>50.926839641932986</v>
      </c>
      <c r="N38" s="166"/>
      <c r="O38" s="168">
        <v>53.761366001633235</v>
      </c>
      <c r="P38" s="168">
        <v>50.661524321314175</v>
      </c>
      <c r="Q38" s="168">
        <v>43.80802034289789</v>
      </c>
      <c r="R38" s="168">
        <v>49.562575114619079</v>
      </c>
      <c r="S38" s="168">
        <v>43.220263606951846</v>
      </c>
      <c r="T38" s="168">
        <v>43.647817114858668</v>
      </c>
      <c r="U38" s="168">
        <v>40.74989906560748</v>
      </c>
      <c r="V38" s="168">
        <v>35.200000000000003</v>
      </c>
      <c r="W38" s="168">
        <v>31.63</v>
      </c>
      <c r="X38" s="168">
        <v>26.11</v>
      </c>
      <c r="Y38" s="168">
        <v>12.819019619771765</v>
      </c>
      <c r="Z38" s="168">
        <v>5.294123154415658</v>
      </c>
      <c r="AA38" s="168"/>
      <c r="AB38" s="168">
        <v>2.0967918731561639</v>
      </c>
      <c r="AC38" s="168">
        <v>1.5645138373948697</v>
      </c>
      <c r="AD38" s="168">
        <v>2.8658112112087224</v>
      </c>
      <c r="AE38" s="168">
        <v>-5.0168558211367014</v>
      </c>
      <c r="AF38" s="168">
        <v>1.1228186331696293</v>
      </c>
      <c r="AG38" s="168">
        <v>-1.1637374648273351</v>
      </c>
      <c r="AH38" s="168">
        <v>1.9207567002466277</v>
      </c>
      <c r="AI38" s="168">
        <v>1.3698153174236012</v>
      </c>
      <c r="AJ38" s="168">
        <v>5.3210223347495145</v>
      </c>
      <c r="AK38" s="168">
        <v>6.3796271902684083</v>
      </c>
      <c r="AL38" s="168">
        <v>10.075500300491669</v>
      </c>
      <c r="AM38" s="168">
        <v>13.774301362735912</v>
      </c>
      <c r="AN38" s="168"/>
      <c r="AO38" s="168">
        <v>14.454657579484916</v>
      </c>
      <c r="AP38" s="168">
        <v>12.993487761132116</v>
      </c>
      <c r="AQ38" s="168">
        <v>18.7001441579695</v>
      </c>
      <c r="AR38" s="168">
        <v>22.824663483118179</v>
      </c>
      <c r="AS38" s="168">
        <v>11.343347930831026</v>
      </c>
      <c r="AT38" s="168">
        <v>6.5250453298586475</v>
      </c>
      <c r="AU38" s="168">
        <v>0.19433975397664938</v>
      </c>
      <c r="AV38" s="168">
        <v>-0.62501101257851133</v>
      </c>
      <c r="AW38" s="168">
        <v>-5.0483756171225735</v>
      </c>
      <c r="AX38" s="168">
        <v>-4.503179214654935</v>
      </c>
      <c r="AY38" s="168">
        <v>-2.0011845088209981</v>
      </c>
      <c r="AZ38" s="168">
        <v>-0.80636997300970847</v>
      </c>
      <c r="BA38" s="168"/>
      <c r="BB38" s="168">
        <v>1.1264116823978156</v>
      </c>
      <c r="BC38" s="168">
        <v>7.8853473456026251</v>
      </c>
      <c r="BD38" s="168">
        <v>8.889498802169598</v>
      </c>
      <c r="BE38" s="168">
        <v>5.8642804312880799</v>
      </c>
      <c r="BF38" s="168">
        <v>10.050278015012012</v>
      </c>
      <c r="BG38" s="168">
        <v>19.708627221039393</v>
      </c>
      <c r="BH38" s="168">
        <v>21.898024518865824</v>
      </c>
      <c r="BI38" s="168">
        <v>32.891006929143231</v>
      </c>
      <c r="BJ38" s="168">
        <v>30.164694606100085</v>
      </c>
      <c r="BK38" s="168">
        <v>30.851259520674432</v>
      </c>
      <c r="BL38" s="168">
        <v>29.834607434242514</v>
      </c>
      <c r="BM38" s="168">
        <v>32.256530459327422</v>
      </c>
      <c r="BN38" s="168"/>
      <c r="BO38" s="168">
        <v>23.535073808527358</v>
      </c>
      <c r="BP38" s="168">
        <v>16.790424055306573</v>
      </c>
      <c r="BQ38" s="168">
        <v>9.36781991135922</v>
      </c>
      <c r="BR38" s="168">
        <v>17.973109792882852</v>
      </c>
      <c r="BS38" s="168">
        <v>18.701118274991686</v>
      </c>
      <c r="BT38" s="168">
        <v>8.3496452200384965</v>
      </c>
      <c r="BU38" s="168">
        <v>13.287332355368292</v>
      </c>
      <c r="BV38" s="168">
        <v>3.646252347461342</v>
      </c>
      <c r="BW38" s="168">
        <v>5.8275685713389436</v>
      </c>
      <c r="BX38" s="168">
        <v>10.335492018413234</v>
      </c>
      <c r="BY38" s="168">
        <v>5.5311080545693301</v>
      </c>
      <c r="BZ38" s="168">
        <v>1.873381092855027</v>
      </c>
      <c r="CA38" s="168"/>
      <c r="CB38" s="168">
        <v>14.626121196229008</v>
      </c>
      <c r="CC38" s="168">
        <v>20.714028437969574</v>
      </c>
      <c r="CD38" s="168">
        <v>16.480422182955309</v>
      </c>
      <c r="CE38" s="168">
        <v>15.296503045204673</v>
      </c>
      <c r="CF38" s="168">
        <v>23.170081108449693</v>
      </c>
      <c r="CG38" s="168">
        <v>16.954950466565393</v>
      </c>
      <c r="CH38" s="168">
        <v>20.603726426175697</v>
      </c>
      <c r="CI38" s="168">
        <v>21.253688894265977</v>
      </c>
      <c r="CJ38" s="168">
        <v>19.663655290096216</v>
      </c>
      <c r="CK38" s="168">
        <v>12.082141479359777</v>
      </c>
      <c r="CL38" s="168">
        <v>19.662663742054207</v>
      </c>
      <c r="CM38" s="168">
        <v>29.862078313321405</v>
      </c>
      <c r="CO38" s="53">
        <v>19.3801471812789</v>
      </c>
      <c r="CP38" s="53">
        <v>11.5772425498032</v>
      </c>
      <c r="CQ38" s="53">
        <v>20.835168659618958</v>
      </c>
      <c r="CR38" s="53">
        <v>11.16994288725401</v>
      </c>
      <c r="CS38" s="53">
        <v>5.3444885029770433</v>
      </c>
      <c r="CT38" s="53">
        <f>+'[6]Accounts of CBA_Program ER'!DL$40</f>
        <v>8.2054080792025985</v>
      </c>
      <c r="CU38" s="53">
        <f>+'[6]Accounts of CBA_Program ER'!DM$40</f>
        <v>8.6194737034650331</v>
      </c>
      <c r="CV38" s="53">
        <f>+'[6]Accounts of CBA_Program ER'!DN$40</f>
        <v>-0.25400078102848056</v>
      </c>
      <c r="CW38" s="53">
        <f>+'[6]Accounts of CBA_Program ER'!DO$40</f>
        <v>-0.51813828846675847</v>
      </c>
      <c r="CX38" s="53">
        <f>+'[6]Accounts of CBA_Program ER'!DP$40</f>
        <v>2.1549185752602398</v>
      </c>
      <c r="CY38" s="53">
        <f>+'[6]Accounts of CBA_Program ER'!DQ$40</f>
        <v>-2.4271541237065577</v>
      </c>
      <c r="CZ38" s="53">
        <f>+'[6]Accounts of CBA_Program ER'!DR$40</f>
        <v>-0.14541502128876971</v>
      </c>
      <c r="DB38" s="53">
        <v>6.4301645099777147</v>
      </c>
      <c r="DC38" s="53">
        <v>6.4419772365926491</v>
      </c>
      <c r="DD38" s="53">
        <v>1.6144799141718238</v>
      </c>
      <c r="DE38" s="57">
        <v>7.0894608437232591</v>
      </c>
      <c r="DF38" s="57">
        <v>14.50069503887272</v>
      </c>
      <c r="DG38" s="57">
        <v>14.690052492932267</v>
      </c>
      <c r="DH38" s="57">
        <v>12.178809416165961</v>
      </c>
      <c r="DI38" s="57">
        <v>19.875576253621929</v>
      </c>
      <c r="DJ38" s="57">
        <v>22.085533726909063</v>
      </c>
      <c r="DK38" s="57">
        <v>13.555025024103571</v>
      </c>
      <c r="DL38" s="57">
        <v>15.904045856930566</v>
      </c>
      <c r="DM38" s="57">
        <v>3.8972631516949434</v>
      </c>
      <c r="DN38" s="57"/>
      <c r="DO38" s="57">
        <v>5.2680976858180202</v>
      </c>
      <c r="DP38" s="57">
        <v>6.1546237144999765</v>
      </c>
      <c r="DQ38" s="53">
        <v>7.299163415535844</v>
      </c>
      <c r="DR38" s="53">
        <v>5.269094582663314</v>
      </c>
      <c r="DS38" s="53">
        <v>-12.847761551427183</v>
      </c>
      <c r="DT38" s="53">
        <v>-5.0115206624497688</v>
      </c>
      <c r="DU38" s="53">
        <v>-5.251630063250019</v>
      </c>
      <c r="DV38" s="53">
        <v>-2.777567717430955</v>
      </c>
      <c r="DW38" s="53">
        <v>2.3183770682499301</v>
      </c>
      <c r="DX38" s="53">
        <v>6.7583063530304059</v>
      </c>
      <c r="DY38" s="53">
        <v>0.56962629799097897</v>
      </c>
      <c r="DZ38" s="53">
        <v>13.130506957266846</v>
      </c>
      <c r="EB38" s="53">
        <v>4.4554417213147985</v>
      </c>
      <c r="EC38" s="53">
        <v>7.9515465759264998</v>
      </c>
      <c r="ED38" s="53">
        <v>14.198061590491506</v>
      </c>
      <c r="EE38" s="53">
        <v>4.0868843882185359</v>
      </c>
      <c r="EF38" s="53">
        <v>21.486530117596558</v>
      </c>
      <c r="EG38" s="53">
        <v>23.098385541873583</v>
      </c>
      <c r="EH38" s="53">
        <v>14.258014295602536</v>
      </c>
    </row>
    <row r="39" spans="1:144">
      <c r="A39" s="170" t="s">
        <v>47</v>
      </c>
      <c r="B39" s="174">
        <v>58.210648817182545</v>
      </c>
      <c r="C39" s="174">
        <v>62.355177287555762</v>
      </c>
      <c r="D39" s="192">
        <v>64.575347842679435</v>
      </c>
      <c r="E39" s="174">
        <v>66.769131728445785</v>
      </c>
      <c r="F39" s="174">
        <v>66.33673389336613</v>
      </c>
      <c r="G39" s="174">
        <v>67.962198755592027</v>
      </c>
      <c r="H39" s="174">
        <v>75.031793268100728</v>
      </c>
      <c r="I39" s="174">
        <v>73.316759888630884</v>
      </c>
      <c r="J39" s="166">
        <v>61.286426028647924</v>
      </c>
      <c r="K39" s="166">
        <v>63.879934412111936</v>
      </c>
      <c r="L39" s="166">
        <v>73.85523310616037</v>
      </c>
      <c r="M39" s="166">
        <v>63.883679336495106</v>
      </c>
      <c r="N39" s="168"/>
      <c r="O39" s="166">
        <v>63.94118854005356</v>
      </c>
      <c r="P39" s="166">
        <v>61.255750439154042</v>
      </c>
      <c r="Q39" s="166">
        <v>55.257008575469854</v>
      </c>
      <c r="R39" s="166">
        <v>53.642175931298311</v>
      </c>
      <c r="S39" s="166">
        <v>54.978420020107308</v>
      </c>
      <c r="T39" s="168">
        <v>47.087317618407042</v>
      </c>
      <c r="U39" s="168">
        <v>38.774533568128902</v>
      </c>
      <c r="V39" s="168">
        <v>36.183071893443923</v>
      </c>
      <c r="W39" s="168">
        <v>35.328956887193129</v>
      </c>
      <c r="X39" s="168">
        <v>27.467256530937419</v>
      </c>
      <c r="Y39" s="168">
        <v>9.5375589882929432</v>
      </c>
      <c r="Z39" s="168">
        <v>-4.5312098343201654</v>
      </c>
      <c r="AA39" s="168"/>
      <c r="AB39" s="168">
        <v>-12.144766268696245</v>
      </c>
      <c r="AC39" s="168">
        <v>-29.647647018999507</v>
      </c>
      <c r="AD39" s="168">
        <v>-33.946499069483224</v>
      </c>
      <c r="AE39" s="168">
        <v>-33.916866867025789</v>
      </c>
      <c r="AF39" s="168">
        <v>-33.795595750865857</v>
      </c>
      <c r="AG39" s="168">
        <v>-33.043339085619735</v>
      </c>
      <c r="AH39" s="168">
        <v>-27.694556730430278</v>
      </c>
      <c r="AI39" s="168">
        <v>-27.961710575086244</v>
      </c>
      <c r="AJ39" s="168">
        <v>-29.394254190409569</v>
      </c>
      <c r="AK39" s="168">
        <v>-26.501440680666846</v>
      </c>
      <c r="AL39" s="168">
        <v>-23.801779613122093</v>
      </c>
      <c r="AM39" s="168">
        <v>-15.348609752781684</v>
      </c>
      <c r="AN39" s="168"/>
      <c r="AO39" s="168">
        <v>-12.115113397043061</v>
      </c>
      <c r="AP39" s="168">
        <v>9.2923107283986468</v>
      </c>
      <c r="AQ39" s="168">
        <v>13.740611242304993</v>
      </c>
      <c r="AR39" s="168">
        <v>14.637933249240476</v>
      </c>
      <c r="AS39" s="168">
        <v>13.567687839578738</v>
      </c>
      <c r="AT39" s="168">
        <v>13.575182207659495</v>
      </c>
      <c r="AU39" s="168">
        <v>5.1404052980170434</v>
      </c>
      <c r="AV39" s="168">
        <v>3.9721231621805373</v>
      </c>
      <c r="AW39" s="168">
        <v>7.4873531889135307</v>
      </c>
      <c r="AX39" s="168">
        <v>7.5204586714771011</v>
      </c>
      <c r="AY39" s="168">
        <v>10.153376667836866</v>
      </c>
      <c r="AZ39" s="168">
        <v>14.966796080380959</v>
      </c>
      <c r="BA39" s="168"/>
      <c r="BB39" s="168">
        <v>15.962703178761032</v>
      </c>
      <c r="BC39" s="168">
        <v>17.196579211621696</v>
      </c>
      <c r="BD39" s="168">
        <v>24.966364310688476</v>
      </c>
      <c r="BE39" s="168">
        <v>21.9877841481632</v>
      </c>
      <c r="BF39" s="168">
        <v>25.054443951584943</v>
      </c>
      <c r="BG39" s="168">
        <v>26.269514852733678</v>
      </c>
      <c r="BH39" s="168">
        <v>30.225313623908789</v>
      </c>
      <c r="BI39" s="168">
        <v>30.127906400527081</v>
      </c>
      <c r="BJ39" s="168">
        <v>28.370822345927138</v>
      </c>
      <c r="BK39" s="168">
        <v>27.480779937749361</v>
      </c>
      <c r="BL39" s="168">
        <v>27.099332201414427</v>
      </c>
      <c r="BM39" s="168">
        <v>25.866921849187534</v>
      </c>
      <c r="BN39" s="168"/>
      <c r="BO39" s="168">
        <v>28.179084190526083</v>
      </c>
      <c r="BP39" s="168">
        <v>27.352696319535625</v>
      </c>
      <c r="BQ39" s="168">
        <v>27.56104661667213</v>
      </c>
      <c r="BR39" s="168">
        <v>30.507534441843234</v>
      </c>
      <c r="BS39" s="168">
        <v>25.377745307908455</v>
      </c>
      <c r="BT39" s="168">
        <v>20.303903052651066</v>
      </c>
      <c r="BU39" s="168">
        <v>16.457535416013386</v>
      </c>
      <c r="BV39" s="168">
        <v>16.549444452139284</v>
      </c>
      <c r="BW39" s="168">
        <v>17.506694591608692</v>
      </c>
      <c r="BX39" s="168">
        <v>17.490447500654454</v>
      </c>
      <c r="BY39" s="168">
        <v>16.578697251367245</v>
      </c>
      <c r="BZ39" s="168">
        <v>12.821573220603909</v>
      </c>
      <c r="CA39" s="168"/>
      <c r="CB39" s="168">
        <v>15.443271162706878</v>
      </c>
      <c r="CC39" s="168">
        <v>14.515536091116914</v>
      </c>
      <c r="CD39" s="168">
        <v>11.105881040623331</v>
      </c>
      <c r="CE39" s="168">
        <v>11.363004361996047</v>
      </c>
      <c r="CF39" s="168">
        <v>11.785423781777155</v>
      </c>
      <c r="CG39" s="168">
        <v>12.499959854520057</v>
      </c>
      <c r="CH39" s="168">
        <v>11.793226695857228</v>
      </c>
      <c r="CI39" s="168">
        <v>11.134259865777878</v>
      </c>
      <c r="CJ39" s="168">
        <v>10.769525164621669</v>
      </c>
      <c r="CK39" s="168">
        <v>10.403480937584703</v>
      </c>
      <c r="CL39" s="168">
        <v>10.843059473435474</v>
      </c>
      <c r="CM39" s="168">
        <v>15.520435037385354</v>
      </c>
      <c r="CN39" s="168"/>
      <c r="CO39" s="53">
        <v>12.33168180417519</v>
      </c>
      <c r="CP39" s="53">
        <v>11.17361426710049</v>
      </c>
      <c r="CQ39" s="53">
        <v>11.6784652446118</v>
      </c>
      <c r="CR39" s="53">
        <v>11.831142764652867</v>
      </c>
      <c r="CS39" s="53">
        <v>14.172991157682489</v>
      </c>
      <c r="CT39" s="53">
        <f>+'[6]Monetary Survey'!DK$43</f>
        <v>15.369618619227495</v>
      </c>
      <c r="CU39" s="53">
        <f>+'[6]Monetary Survey'!DL$43</f>
        <v>15.492296734632063</v>
      </c>
      <c r="CV39" s="53">
        <f>+'[6]Monetary Survey'!DM$43</f>
        <v>15.187122233280732</v>
      </c>
      <c r="CW39" s="53">
        <f>+'[6]Monetary Survey'!DN$43</f>
        <v>15.11926628046092</v>
      </c>
      <c r="CX39" s="53">
        <f>+'[6]Monetary Survey'!DO$43</f>
        <v>14.97893550737777</v>
      </c>
      <c r="CY39" s="53">
        <f>+'[6]Monetary Survey'!DP$43</f>
        <v>9.3078778029193785</v>
      </c>
      <c r="CZ39" s="53">
        <f>+'[6]Monetary Survey'!DQ$43</f>
        <v>-2.5785194434560452</v>
      </c>
      <c r="DB39" s="53">
        <v>-1.5612664962420695</v>
      </c>
      <c r="DC39" s="53">
        <v>-4.3033137583619521</v>
      </c>
      <c r="DD39" s="53">
        <v>-0.98477831364253632</v>
      </c>
      <c r="DE39" s="57">
        <v>-0.27813125319795517</v>
      </c>
      <c r="DF39" s="57">
        <v>-1.6473492366928468</v>
      </c>
      <c r="DG39" s="57">
        <v>-1.0252718463299288</v>
      </c>
      <c r="DH39" s="57">
        <v>-0.26673335490247041</v>
      </c>
      <c r="DI39" s="57">
        <v>-3.4390714683945447</v>
      </c>
      <c r="DJ39" s="57">
        <v>-5.8963938785502705</v>
      </c>
      <c r="DK39" s="57">
        <v>-4.2169867344061203</v>
      </c>
      <c r="DL39" s="57">
        <v>-1.8703083663415754</v>
      </c>
      <c r="DM39" s="57">
        <v>7.3251466085159507</v>
      </c>
      <c r="DN39" s="57"/>
      <c r="DO39" s="57">
        <v>7.2466259967855109</v>
      </c>
      <c r="DP39" s="57">
        <v>13.426094924945843</v>
      </c>
      <c r="DQ39" s="53">
        <v>11.189045675208334</v>
      </c>
      <c r="DR39" s="53">
        <v>11.078402038553591</v>
      </c>
      <c r="DS39" s="53">
        <v>11.866353624759213</v>
      </c>
      <c r="DT39" s="53">
        <v>14.189981807292455</v>
      </c>
      <c r="DU39" s="53">
        <v>13.292420495857058</v>
      </c>
      <c r="DV39" s="53">
        <v>17.478550198804129</v>
      </c>
      <c r="DW39" s="53">
        <v>20.425522719728065</v>
      </c>
      <c r="DX39" s="53">
        <v>18.721482529288068</v>
      </c>
      <c r="DY39" s="53">
        <v>22.958226326426328</v>
      </c>
      <c r="DZ39" s="53">
        <v>20.095691654638898</v>
      </c>
      <c r="EB39" s="53">
        <v>24.01464489163952</v>
      </c>
      <c r="EC39" s="53">
        <v>23.842034995941333</v>
      </c>
      <c r="ED39" s="53">
        <v>24.149958006475856</v>
      </c>
      <c r="EE39" s="53">
        <v>20.955759847919381</v>
      </c>
      <c r="EF39" s="53">
        <v>20.594617481758505</v>
      </c>
      <c r="EG39" s="53">
        <v>18.81337462341881</v>
      </c>
      <c r="EH39" s="53">
        <v>22.487707483778578</v>
      </c>
    </row>
    <row r="40" spans="1:144">
      <c r="A40" s="165" t="s">
        <v>65</v>
      </c>
      <c r="B40" s="174">
        <v>29.698983846197905</v>
      </c>
      <c r="C40" s="174">
        <v>33.153694376194409</v>
      </c>
      <c r="D40" s="174">
        <v>34.719400348356459</v>
      </c>
      <c r="E40" s="174">
        <v>38.29737130568148</v>
      </c>
      <c r="F40" s="174">
        <v>37.738269545059069</v>
      </c>
      <c r="G40" s="174">
        <v>41.071460520383539</v>
      </c>
      <c r="H40" s="174">
        <v>45.597773891494114</v>
      </c>
      <c r="I40" s="174">
        <v>43.746448973108841</v>
      </c>
      <c r="J40" s="166">
        <v>43.536592267798142</v>
      </c>
      <c r="K40" s="166">
        <v>46.377086167380355</v>
      </c>
      <c r="L40" s="166">
        <v>42.59807774552695</v>
      </c>
      <c r="M40" s="166">
        <v>42.326918140491841</v>
      </c>
      <c r="N40" s="168"/>
      <c r="O40" s="166">
        <v>44.228953944615029</v>
      </c>
      <c r="P40" s="166">
        <v>43.460473131698393</v>
      </c>
      <c r="Q40" s="166">
        <v>40.529817470936734</v>
      </c>
      <c r="R40" s="166">
        <v>39.922255752432335</v>
      </c>
      <c r="S40" s="166">
        <v>41.141655162385206</v>
      </c>
      <c r="T40" s="168">
        <v>36.150877888469495</v>
      </c>
      <c r="U40" s="168">
        <v>33.680509585568188</v>
      </c>
      <c r="V40" s="168">
        <v>32.039797356919223</v>
      </c>
      <c r="W40" s="168">
        <v>29.442416671654797</v>
      </c>
      <c r="X40" s="168">
        <v>25.710021642557621</v>
      </c>
      <c r="Y40" s="168">
        <v>10.651958919218814</v>
      </c>
      <c r="Z40" s="168">
        <v>2.4414133869705665</v>
      </c>
      <c r="AA40" s="168"/>
      <c r="AB40" s="168">
        <v>-0.18261370247006425</v>
      </c>
      <c r="AC40" s="168">
        <v>-6.4868301812599043</v>
      </c>
      <c r="AD40" s="168">
        <v>-5.4863074712386322</v>
      </c>
      <c r="AE40" s="168">
        <v>-6.6374581326653583</v>
      </c>
      <c r="AF40" s="168">
        <v>-5.5550767362406646</v>
      </c>
      <c r="AG40" s="168">
        <v>-6.3145974790119226</v>
      </c>
      <c r="AH40" s="168">
        <v>-1.0558780703475179</v>
      </c>
      <c r="AI40" s="168">
        <v>-0.14577997893562156</v>
      </c>
      <c r="AJ40" s="168">
        <v>0.2842431300717152</v>
      </c>
      <c r="AK40" s="168">
        <v>2.8855029846062337</v>
      </c>
      <c r="AL40" s="168">
        <v>8.867602524960688</v>
      </c>
      <c r="AM40" s="168">
        <v>16.350640817376316</v>
      </c>
      <c r="AN40" s="168"/>
      <c r="AO40" s="168">
        <v>19.161036146372794</v>
      </c>
      <c r="AP40" s="168">
        <v>28.418139001785278</v>
      </c>
      <c r="AQ40" s="168">
        <v>28.608084102873761</v>
      </c>
      <c r="AR40" s="168">
        <v>25.106252126578326</v>
      </c>
      <c r="AS40" s="168">
        <v>20.012643748804223</v>
      </c>
      <c r="AT40" s="168">
        <v>19.238441389517561</v>
      </c>
      <c r="AU40" s="168">
        <v>11.299254491801818</v>
      </c>
      <c r="AV40" s="168">
        <v>7.8333147794000126</v>
      </c>
      <c r="AW40" s="168">
        <v>8.3039723969991428</v>
      </c>
      <c r="AX40" s="168">
        <v>7.3255880424899686</v>
      </c>
      <c r="AY40" s="168">
        <v>7.8749605700256069</v>
      </c>
      <c r="AZ40" s="168">
        <v>10.58014433533603</v>
      </c>
      <c r="BA40" s="168"/>
      <c r="BB40" s="168">
        <v>11.795995746791178</v>
      </c>
      <c r="BC40" s="168">
        <v>11.046423887777806</v>
      </c>
      <c r="BD40" s="168">
        <v>12.735389838838969</v>
      </c>
      <c r="BE40" s="168">
        <v>14.533191306297084</v>
      </c>
      <c r="BF40" s="168">
        <v>20.420634809478827</v>
      </c>
      <c r="BG40" s="168">
        <v>22.720383225877924</v>
      </c>
      <c r="BH40" s="168">
        <v>24.136907981125134</v>
      </c>
      <c r="BI40" s="168">
        <v>25.544144912553989</v>
      </c>
      <c r="BJ40" s="168">
        <v>24.92255653811543</v>
      </c>
      <c r="BK40" s="168">
        <v>25.493879528583889</v>
      </c>
      <c r="BL40" s="168">
        <v>26.902664115260123</v>
      </c>
      <c r="BM40" s="168">
        <v>23.640804283760673</v>
      </c>
      <c r="BN40" s="168"/>
      <c r="BO40" s="168">
        <v>24.28675396793281</v>
      </c>
      <c r="BP40" s="168">
        <v>23.913206921339494</v>
      </c>
      <c r="BQ40" s="168">
        <v>21.729042222979601</v>
      </c>
      <c r="BR40" s="168">
        <v>24.4218102423104</v>
      </c>
      <c r="BS40" s="168">
        <v>23.45131284224442</v>
      </c>
      <c r="BT40" s="168">
        <v>22.770813345972968</v>
      </c>
      <c r="BU40" s="168">
        <v>20.137176819392735</v>
      </c>
      <c r="BV40" s="168">
        <v>22.026195897235439</v>
      </c>
      <c r="BW40" s="168">
        <v>24.316581430331482</v>
      </c>
      <c r="BX40" s="168">
        <v>22.664278055761656</v>
      </c>
      <c r="BY40" s="168">
        <v>20.93504143890361</v>
      </c>
      <c r="BZ40" s="168">
        <v>19.562481998515608</v>
      </c>
      <c r="CA40" s="168"/>
      <c r="CB40" s="168">
        <v>20.411460738744111</v>
      </c>
      <c r="CC40" s="168">
        <v>21.215725249286493</v>
      </c>
      <c r="CD40" s="168">
        <v>20.37711210355954</v>
      </c>
      <c r="CE40" s="168">
        <v>18.624958848559487</v>
      </c>
      <c r="CF40" s="168">
        <v>18.090721899780689</v>
      </c>
      <c r="CG40" s="168">
        <v>15.730957967134572</v>
      </c>
      <c r="CH40" s="168">
        <v>16.454211312895353</v>
      </c>
      <c r="CI40" s="168">
        <v>15.119335605262137</v>
      </c>
      <c r="CJ40" s="168">
        <v>15.079907120294294</v>
      </c>
      <c r="CK40" s="168">
        <v>14.651868500471394</v>
      </c>
      <c r="CL40" s="168">
        <v>13.773650106726066</v>
      </c>
      <c r="CM40" s="168">
        <v>15.228126436030792</v>
      </c>
      <c r="CN40" s="168"/>
      <c r="CO40" s="53">
        <v>13.460315799531571</v>
      </c>
      <c r="CP40" s="53">
        <v>12.539029737237044</v>
      </c>
      <c r="CQ40" s="53">
        <v>13.300247482836042</v>
      </c>
      <c r="CR40" s="53">
        <v>13.896405502586376</v>
      </c>
      <c r="CS40" s="53">
        <v>14.468376012046804</v>
      </c>
      <c r="CT40" s="53">
        <f>+'[6]Monetary Survey'!DK$44</f>
        <v>15.310588416006254</v>
      </c>
      <c r="CU40" s="53">
        <f>+'[6]Monetary Survey'!DL$44</f>
        <v>13.882346824997626</v>
      </c>
      <c r="CV40" s="53">
        <f>+'[6]Monetary Survey'!DM$44</f>
        <v>13.010173518727285</v>
      </c>
      <c r="CW40" s="53">
        <f>+'[6]Monetary Survey'!DN$44</f>
        <v>10.186864313225158</v>
      </c>
      <c r="CX40" s="53">
        <f>+'[6]Monetary Survey'!DO$44</f>
        <v>11.457598517960108</v>
      </c>
      <c r="CY40" s="53">
        <f>+'[6]Monetary Survey'!DP$44</f>
        <v>12.689662615757769</v>
      </c>
      <c r="CZ40" s="53">
        <f>+'[6]Monetary Survey'!DQ$44</f>
        <v>8.8680224660760274</v>
      </c>
      <c r="DB40" s="53">
        <v>9.7738980344971083</v>
      </c>
      <c r="DC40" s="195">
        <v>6.8022184590258945</v>
      </c>
      <c r="DD40" s="53">
        <v>6.0946247058942618</v>
      </c>
      <c r="DE40" s="262">
        <v>7.540633377526035</v>
      </c>
      <c r="DF40" s="262">
        <v>8.0293128398031968</v>
      </c>
      <c r="DG40" s="262">
        <v>7.7041365621676192</v>
      </c>
      <c r="DH40" s="57">
        <v>11.679575356810076</v>
      </c>
      <c r="DI40" s="57">
        <v>9.7023407178313334</v>
      </c>
      <c r="DJ40" s="57">
        <v>8.629728734687987</v>
      </c>
      <c r="DK40" s="57">
        <v>9.0286883713644812</v>
      </c>
      <c r="DL40" s="57">
        <v>8.1688043640462382</v>
      </c>
      <c r="DM40" s="57">
        <v>10.650754531538126</v>
      </c>
      <c r="DN40" s="57"/>
      <c r="DO40" s="57">
        <v>11.36077835985418</v>
      </c>
      <c r="DP40" s="57">
        <v>15.651554905023502</v>
      </c>
      <c r="DQ40" s="53">
        <v>15.380975194465748</v>
      </c>
      <c r="DR40" s="53">
        <v>12.699372159568625</v>
      </c>
      <c r="DS40" s="53">
        <v>10.19464412789948</v>
      </c>
      <c r="DT40" s="53">
        <v>12.737258138723973</v>
      </c>
      <c r="DU40" s="53">
        <v>12.28459913254234</v>
      </c>
      <c r="DV40" s="53">
        <v>13.286158659848255</v>
      </c>
      <c r="DW40" s="53">
        <v>15.542580087833443</v>
      </c>
      <c r="DX40" s="53">
        <v>15.014699648750579</v>
      </c>
      <c r="DY40" s="53">
        <v>15.445871408987344</v>
      </c>
      <c r="DZ40" s="53">
        <v>16.59792226186228</v>
      </c>
      <c r="EB40" s="53">
        <v>18.035101469877588</v>
      </c>
      <c r="EC40" s="53">
        <v>17.510655971379975</v>
      </c>
      <c r="ED40" s="53">
        <v>17.560839967594745</v>
      </c>
      <c r="EE40" s="53">
        <v>18.233556865937729</v>
      </c>
      <c r="EF40" s="53">
        <v>18.015568470902082</v>
      </c>
      <c r="EG40" s="53">
        <v>16.164825139713827</v>
      </c>
      <c r="EH40" s="53">
        <v>16.165550825171977</v>
      </c>
    </row>
    <row r="41" spans="1:144" ht="5.0999999999999996" customHeight="1">
      <c r="A41" s="175"/>
      <c r="B41" s="174"/>
      <c r="C41" s="174"/>
      <c r="D41" s="174"/>
      <c r="E41" s="174"/>
      <c r="F41" s="174"/>
      <c r="G41" s="174"/>
      <c r="H41" s="174"/>
      <c r="I41" s="174"/>
      <c r="J41" s="166"/>
      <c r="K41" s="166"/>
      <c r="L41" s="166"/>
      <c r="M41" s="166"/>
      <c r="N41" s="166"/>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K41" s="168"/>
      <c r="CL41" s="168"/>
      <c r="CM41" s="168"/>
      <c r="CN41" s="168"/>
      <c r="CO41" s="168"/>
      <c r="CP41" s="168"/>
    </row>
    <row r="42" spans="1:144" ht="15">
      <c r="A42" s="165" t="s">
        <v>36</v>
      </c>
      <c r="B42" s="174">
        <v>19.171893736997944</v>
      </c>
      <c r="C42" s="174">
        <v>22.878607195134109</v>
      </c>
      <c r="D42" s="174">
        <v>23.248103916889946</v>
      </c>
      <c r="E42" s="174">
        <v>24.629834696368832</v>
      </c>
      <c r="F42" s="174">
        <v>24.266177099264823</v>
      </c>
      <c r="G42" s="174">
        <v>30.702076604766773</v>
      </c>
      <c r="H42" s="174">
        <v>34.509488409750134</v>
      </c>
      <c r="I42" s="174">
        <v>32.171734832991859</v>
      </c>
      <c r="J42" s="166">
        <v>38.225619272153011</v>
      </c>
      <c r="K42" s="166">
        <v>41.158990308939337</v>
      </c>
      <c r="L42" s="166">
        <v>26.961022195739275</v>
      </c>
      <c r="M42" s="166">
        <v>33.197792165354088</v>
      </c>
      <c r="N42" s="168"/>
      <c r="O42" s="166">
        <v>33.846447579229846</v>
      </c>
      <c r="P42" s="166">
        <v>32.985298471739412</v>
      </c>
      <c r="Q42" s="166">
        <v>33.738967993812253</v>
      </c>
      <c r="R42" s="166">
        <v>37.35170180868289</v>
      </c>
      <c r="S42" s="166">
        <v>39.556993809807352</v>
      </c>
      <c r="T42" s="168">
        <v>32.292724710134507</v>
      </c>
      <c r="U42" s="168">
        <v>33.235024554473256</v>
      </c>
      <c r="V42" s="168">
        <v>33.219503998322949</v>
      </c>
      <c r="W42" s="168">
        <v>30.297487596282025</v>
      </c>
      <c r="X42" s="168">
        <v>28.476441255911794</v>
      </c>
      <c r="Y42" s="168">
        <v>14.958782607712749</v>
      </c>
      <c r="Z42" s="168">
        <v>7.3473297642002109</v>
      </c>
      <c r="AA42" s="168"/>
      <c r="AB42" s="168">
        <v>8.3246393253416215</v>
      </c>
      <c r="AC42" s="168">
        <v>10.576006673560997</v>
      </c>
      <c r="AD42" s="168">
        <v>14.085710348371478</v>
      </c>
      <c r="AE42" s="168">
        <v>11.222784427525355</v>
      </c>
      <c r="AF42" s="168">
        <v>11.478146520345462</v>
      </c>
      <c r="AG42" s="168">
        <v>10.004559362296732</v>
      </c>
      <c r="AH42" s="168">
        <v>17.576487647353645</v>
      </c>
      <c r="AI42" s="168">
        <v>18.493029507673754</v>
      </c>
      <c r="AJ42" s="168">
        <v>19.537583705241019</v>
      </c>
      <c r="AK42" s="168">
        <v>21.812202356227559</v>
      </c>
      <c r="AL42" s="168">
        <v>29.990350379244177</v>
      </c>
      <c r="AM42" s="168">
        <v>38.039278165631174</v>
      </c>
      <c r="AN42" s="168"/>
      <c r="AO42" s="168">
        <v>38.596882148271362</v>
      </c>
      <c r="AP42" s="168">
        <v>38.507509977724283</v>
      </c>
      <c r="AQ42" s="168">
        <v>34.558714497296108</v>
      </c>
      <c r="AR42" s="168">
        <v>29.682521811137775</v>
      </c>
      <c r="AS42" s="168">
        <v>23.959249023210731</v>
      </c>
      <c r="AT42" s="168">
        <v>23.090563266391811</v>
      </c>
      <c r="AU42" s="168">
        <v>13.025397662956919</v>
      </c>
      <c r="AV42" s="168">
        <v>9.7461200087080471</v>
      </c>
      <c r="AW42" s="168">
        <v>8.9825904243873111</v>
      </c>
      <c r="AX42" s="168">
        <v>8.2806881265746028</v>
      </c>
      <c r="AY42" s="168">
        <v>9.329155736422706</v>
      </c>
      <c r="AZ42" s="168">
        <v>12.064885105996638</v>
      </c>
      <c r="BA42" s="168"/>
      <c r="BB42" s="168">
        <v>13.113862145364536</v>
      </c>
      <c r="BC42" s="168">
        <v>12.045201070282019</v>
      </c>
      <c r="BD42" s="168">
        <v>12.831773732870943</v>
      </c>
      <c r="BE42" s="168">
        <v>15.217099282021863</v>
      </c>
      <c r="BF42" s="168">
        <v>22.854960558274144</v>
      </c>
      <c r="BG42" s="168">
        <v>27.127584419344529</v>
      </c>
      <c r="BH42" s="168">
        <v>28.503530463836796</v>
      </c>
      <c r="BI42" s="168">
        <v>29.706050007462323</v>
      </c>
      <c r="BJ42" s="168">
        <v>28.491767235221403</v>
      </c>
      <c r="BK42" s="168">
        <v>29.836254851394443</v>
      </c>
      <c r="BL42" s="168">
        <v>31.681013961536564</v>
      </c>
      <c r="BM42" s="168">
        <v>28.083043433341857</v>
      </c>
      <c r="BN42" s="168"/>
      <c r="BO42" s="168">
        <v>28.147892962979654</v>
      </c>
      <c r="BP42" s="168">
        <v>27.659024303561893</v>
      </c>
      <c r="BQ42" s="168">
        <v>24.409431382005224</v>
      </c>
      <c r="BR42" s="168">
        <v>27.206921598822348</v>
      </c>
      <c r="BS42" s="168">
        <v>27.593584340524387</v>
      </c>
      <c r="BT42" s="168">
        <v>27.476501983196442</v>
      </c>
      <c r="BU42" s="168">
        <v>24.294599093479931</v>
      </c>
      <c r="BV42" s="168">
        <v>27.263700413342249</v>
      </c>
      <c r="BW42" s="168">
        <v>30.385996760409569</v>
      </c>
      <c r="BX42" s="168">
        <v>28.322973370198099</v>
      </c>
      <c r="BY42" s="168">
        <v>25.749344439489235</v>
      </c>
      <c r="BZ42" s="168">
        <v>23.895122282558361</v>
      </c>
      <c r="CA42" s="168"/>
      <c r="CB42" s="168">
        <v>24.567186848303237</v>
      </c>
      <c r="CC42" s="168">
        <v>26.891308520120049</v>
      </c>
      <c r="CD42" s="168">
        <v>25.635146029445195</v>
      </c>
      <c r="CE42" s="168">
        <v>25.226956831889865</v>
      </c>
      <c r="CF42" s="168">
        <v>23.234167082572</v>
      </c>
      <c r="CG42" s="168">
        <v>20.413645475266577</v>
      </c>
      <c r="CH42" s="168">
        <v>21.755608286657548</v>
      </c>
      <c r="CI42" s="168">
        <v>20.681273011036083</v>
      </c>
      <c r="CJ42" s="168">
        <v>20.945119796955723</v>
      </c>
      <c r="CK42" s="168">
        <v>20.52027312545664</v>
      </c>
      <c r="CL42" s="168">
        <v>19.95302149529536</v>
      </c>
      <c r="CM42" s="168">
        <v>21.247206161784433</v>
      </c>
      <c r="CN42" s="178"/>
      <c r="CO42" s="53">
        <v>19.715638180933809</v>
      </c>
      <c r="CP42" s="53">
        <v>17.907655274340684</v>
      </c>
      <c r="CQ42" s="168">
        <v>19.293374100796925</v>
      </c>
      <c r="CR42" s="53">
        <v>19.67064061623887</v>
      </c>
      <c r="CS42" s="53">
        <v>20.496484022614439</v>
      </c>
      <c r="CT42" s="53">
        <f>+'[6]Monetary Survey'!DK$52</f>
        <v>20.905444937557689</v>
      </c>
      <c r="CU42" s="53">
        <f>+'[6]Monetary Survey'!DL$52</f>
        <v>19.370670917095254</v>
      </c>
      <c r="CV42" s="53">
        <f>+'[6]Monetary Survey'!DM$52</f>
        <v>16.810869402793188</v>
      </c>
      <c r="CW42" s="53">
        <f>+'[6]Monetary Survey'!DN$52</f>
        <v>12.978453209978838</v>
      </c>
      <c r="CX42" s="53">
        <f>+'[6]Monetary Survey'!DO$52</f>
        <v>14.656954347364177</v>
      </c>
      <c r="CY42" s="53">
        <f>+'[6]Monetary Survey'!DP$52</f>
        <v>17.12493286686059</v>
      </c>
      <c r="CZ42" s="53">
        <f>+'[6]Monetary Survey'!DQ$52</f>
        <v>14.848557627314534</v>
      </c>
      <c r="DA42" s="178"/>
      <c r="DB42" s="53">
        <v>15.341474024856907</v>
      </c>
      <c r="DC42" s="53">
        <v>11.119629824186106</v>
      </c>
      <c r="DD42" s="53">
        <v>10.331400671998651</v>
      </c>
      <c r="DE42" s="262">
        <v>11.907242435980024</v>
      </c>
      <c r="DF42" s="262">
        <v>12.516341719527617</v>
      </c>
      <c r="DG42" s="262">
        <v>11.659525554836222</v>
      </c>
      <c r="DH42" s="262">
        <v>15.9690945933324</v>
      </c>
      <c r="DI42" s="262">
        <v>15.433514954654527</v>
      </c>
      <c r="DJ42" s="262">
        <v>14.115940088497013</v>
      </c>
      <c r="DK42" s="262">
        <v>14.792552076522881</v>
      </c>
      <c r="DL42" s="262">
        <v>11.959394701556363</v>
      </c>
      <c r="DM42" s="57">
        <v>13.597322023558661</v>
      </c>
      <c r="DN42" s="57"/>
      <c r="DO42" s="57">
        <v>13.928661667258211</v>
      </c>
      <c r="DP42" s="57">
        <v>19.570564489946406</v>
      </c>
      <c r="DQ42" s="208">
        <v>18.752715813108196</v>
      </c>
      <c r="DR42" s="53">
        <v>15.264174850891237</v>
      </c>
      <c r="DS42" s="53">
        <v>12.19676501445926</v>
      </c>
      <c r="DT42" s="53">
        <v>15.130728694596414</v>
      </c>
      <c r="DU42" s="53">
        <v>14.994591945555143</v>
      </c>
      <c r="DV42" s="53">
        <v>14.703540965924347</v>
      </c>
      <c r="DW42" s="53">
        <v>16.798893066547521</v>
      </c>
      <c r="DX42" s="53">
        <v>16.132624551252903</v>
      </c>
      <c r="DY42" s="53">
        <v>17.061574638852761</v>
      </c>
      <c r="DZ42" s="53">
        <v>17.489033423348161</v>
      </c>
      <c r="EB42" s="53">
        <v>18.052754519233915</v>
      </c>
      <c r="EC42" s="53">
        <v>16.887389678765771</v>
      </c>
      <c r="ED42" s="53">
        <v>15.795764588109449</v>
      </c>
      <c r="EE42" s="53">
        <v>17.9665343780933</v>
      </c>
      <c r="EF42" s="53">
        <v>17.919399790549392</v>
      </c>
      <c r="EG42" s="53">
        <v>16.168034239095832</v>
      </c>
      <c r="EH42" s="53">
        <v>16.083691083865318</v>
      </c>
    </row>
    <row r="43" spans="1:144" ht="15">
      <c r="A43" s="191" t="s">
        <v>49</v>
      </c>
      <c r="B43" s="174">
        <v>17.525594151640675</v>
      </c>
      <c r="C43" s="174">
        <v>29.857064405324621</v>
      </c>
      <c r="D43" s="174">
        <v>23.418262214633188</v>
      </c>
      <c r="E43" s="174">
        <v>26.605404740032341</v>
      </c>
      <c r="F43" s="174">
        <v>21.518548572687266</v>
      </c>
      <c r="G43" s="174">
        <v>17.643034587140207</v>
      </c>
      <c r="H43" s="174">
        <v>20.595295702191365</v>
      </c>
      <c r="I43" s="174">
        <v>11.586762504618676</v>
      </c>
      <c r="J43" s="166">
        <v>23.38467345485742</v>
      </c>
      <c r="K43" s="166">
        <v>31.924804425233361</v>
      </c>
      <c r="L43" s="166">
        <v>6.3917080388038272</v>
      </c>
      <c r="M43" s="166">
        <v>33.479432689810636</v>
      </c>
      <c r="N43" s="168"/>
      <c r="O43" s="166">
        <v>30.049837256461558</v>
      </c>
      <c r="P43" s="166">
        <v>22.163876701990006</v>
      </c>
      <c r="Q43" s="166">
        <v>17.460637458653409</v>
      </c>
      <c r="R43" s="166">
        <v>16.39908854945449</v>
      </c>
      <c r="S43" s="166">
        <v>13.000879028188834</v>
      </c>
      <c r="T43" s="168">
        <v>10.169335299708095</v>
      </c>
      <c r="U43" s="168">
        <v>14.934294523421258</v>
      </c>
      <c r="V43" s="168">
        <v>16.379235796381963</v>
      </c>
      <c r="W43" s="168">
        <v>10.855256396998541</v>
      </c>
      <c r="X43" s="168">
        <v>2.053619177504018</v>
      </c>
      <c r="Y43" s="168">
        <v>-9.7979872480099459</v>
      </c>
      <c r="Z43" s="168">
        <v>-11.86707584171161</v>
      </c>
      <c r="AA43" s="168"/>
      <c r="AB43" s="168">
        <v>-7.7964080879330027</v>
      </c>
      <c r="AC43" s="168">
        <v>-4.7541135641858574</v>
      </c>
      <c r="AD43" s="168">
        <v>-5.5715989243224442</v>
      </c>
      <c r="AE43" s="168">
        <v>-11.674375702680067</v>
      </c>
      <c r="AF43" s="168">
        <v>-2.5154778108440183</v>
      </c>
      <c r="AG43" s="168">
        <v>-0.61960876303216139</v>
      </c>
      <c r="AH43" s="168">
        <v>9.9792284392423909</v>
      </c>
      <c r="AI43" s="168">
        <v>13.952995485703724</v>
      </c>
      <c r="AJ43" s="168">
        <v>9.6971609879064715</v>
      </c>
      <c r="AK43" s="168">
        <v>16.743519936879565</v>
      </c>
      <c r="AL43" s="168">
        <v>24.240416578622529</v>
      </c>
      <c r="AM43" s="168">
        <v>30.805142079435115</v>
      </c>
      <c r="AN43" s="168"/>
      <c r="AO43" s="168">
        <v>29.208385956027996</v>
      </c>
      <c r="AP43" s="168">
        <v>32.692935953378708</v>
      </c>
      <c r="AQ43" s="168">
        <v>40.784180655541235</v>
      </c>
      <c r="AR43" s="168">
        <v>32.682797725518611</v>
      </c>
      <c r="AS43" s="168">
        <v>24.062629781123391</v>
      </c>
      <c r="AT43" s="168">
        <v>23.726216055553209</v>
      </c>
      <c r="AU43" s="168">
        <v>10.340558654155416</v>
      </c>
      <c r="AV43" s="168">
        <v>5.119276426281715</v>
      </c>
      <c r="AW43" s="168">
        <v>7.2571366486414774</v>
      </c>
      <c r="AX43" s="168">
        <v>9.3637235786307826</v>
      </c>
      <c r="AY43" s="168">
        <v>12.988495409471426</v>
      </c>
      <c r="AZ43" s="168">
        <v>11.521006086549221</v>
      </c>
      <c r="BA43" s="168"/>
      <c r="BB43" s="168">
        <v>7.2278155933469037</v>
      </c>
      <c r="BC43" s="168">
        <v>1.2222390388665332</v>
      </c>
      <c r="BD43" s="168">
        <v>8.4067747454756585</v>
      </c>
      <c r="BE43" s="168">
        <v>8.5743197540805198</v>
      </c>
      <c r="BF43" s="168">
        <v>18.243328102424357</v>
      </c>
      <c r="BG43" s="168">
        <v>24.931438768561392</v>
      </c>
      <c r="BH43" s="168">
        <v>28.559916859774347</v>
      </c>
      <c r="BI43" s="168">
        <v>22.496643737742318</v>
      </c>
      <c r="BJ43" s="168">
        <v>21.353495519761424</v>
      </c>
      <c r="BK43" s="168">
        <v>21.459423501567926</v>
      </c>
      <c r="BL43" s="168">
        <v>25.16194780241608</v>
      </c>
      <c r="BM43" s="168">
        <v>18.241971435193577</v>
      </c>
      <c r="BN43" s="168"/>
      <c r="BO43" s="168">
        <v>19.482373114816482</v>
      </c>
      <c r="BP43" s="168">
        <v>21.87508906239384</v>
      </c>
      <c r="BQ43" s="168">
        <v>8.5039745202549568</v>
      </c>
      <c r="BR43" s="168">
        <v>21.466519358956646</v>
      </c>
      <c r="BS43" s="168">
        <v>15.537324943384618</v>
      </c>
      <c r="BT43" s="168">
        <v>10.097252977715158</v>
      </c>
      <c r="BU43" s="168">
        <v>1.0645425104962385</v>
      </c>
      <c r="BV43" s="168">
        <v>7.2679483620868837</v>
      </c>
      <c r="BW43" s="168">
        <v>12.997887210947326</v>
      </c>
      <c r="BX43" s="168">
        <v>9.8657136720772485</v>
      </c>
      <c r="BY43" s="168">
        <v>4.900425150039041</v>
      </c>
      <c r="BZ43" s="168">
        <v>6.7357695003166214</v>
      </c>
      <c r="CA43" s="168"/>
      <c r="CB43" s="168">
        <v>7.9215349882283874</v>
      </c>
      <c r="CC43" s="168">
        <v>12.034845612268356</v>
      </c>
      <c r="CD43" s="168">
        <v>6.3514930299715786</v>
      </c>
      <c r="CE43" s="168">
        <v>7.0161462656268299</v>
      </c>
      <c r="CF43" s="168">
        <v>7.2310808230713519</v>
      </c>
      <c r="CG43" s="168">
        <v>7.9696210113681616</v>
      </c>
      <c r="CH43" s="168">
        <v>6.5379288903101127</v>
      </c>
      <c r="CI43" s="168">
        <v>11.766427539674851</v>
      </c>
      <c r="CJ43" s="168">
        <v>12.620769297033803</v>
      </c>
      <c r="CK43" s="168">
        <v>9.6696324552429331</v>
      </c>
      <c r="CL43" s="168">
        <v>11.819536941664936</v>
      </c>
      <c r="CM43" s="168">
        <v>10.950740778226404</v>
      </c>
      <c r="CN43" s="177"/>
      <c r="CO43" s="53">
        <v>13.341533447132846</v>
      </c>
      <c r="CP43" s="53">
        <v>7.9835317463465998</v>
      </c>
      <c r="CQ43" s="168">
        <v>19.465555387910612</v>
      </c>
      <c r="CR43" s="53">
        <v>19.508117987220913</v>
      </c>
      <c r="CS43" s="53">
        <v>21.904753373836812</v>
      </c>
      <c r="CT43" s="53">
        <f>+'[6]Monetary Survey'!DK$53</f>
        <v>23.068428307658493</v>
      </c>
      <c r="CU43" s="53">
        <f>+'[6]Monetary Survey'!DL$53</f>
        <v>25.964463074010951</v>
      </c>
      <c r="CV43" s="53">
        <f>+'[6]Monetary Survey'!DM$53</f>
        <v>14.223394150609892</v>
      </c>
      <c r="CW43" s="53">
        <f>+'[6]Monetary Survey'!DN$53</f>
        <v>10.462949764544319</v>
      </c>
      <c r="CX43" s="53">
        <f>+'[6]Monetary Survey'!DO$53</f>
        <v>16.392258915862243</v>
      </c>
      <c r="CY43" s="53">
        <f>+'[6]Monetary Survey'!DP$53</f>
        <v>19.02451565053147</v>
      </c>
      <c r="CZ43" s="53">
        <f>+'[6]Monetary Survey'!DQ$53</f>
        <v>13.912919443113594</v>
      </c>
      <c r="DA43" s="177"/>
      <c r="DB43" s="195">
        <v>14.480453906843735</v>
      </c>
      <c r="DC43" s="53">
        <v>14.207245188968187</v>
      </c>
      <c r="DD43" s="53">
        <v>6.4156982429186513</v>
      </c>
      <c r="DE43" s="262">
        <v>5.9290795423075906</v>
      </c>
      <c r="DF43" s="262">
        <v>10.73599603659585</v>
      </c>
      <c r="DG43" s="262">
        <v>7.0871539391894771</v>
      </c>
      <c r="DH43" s="262">
        <v>14.284798936693406</v>
      </c>
      <c r="DI43" s="262">
        <v>14.75380229806747</v>
      </c>
      <c r="DJ43" s="262">
        <v>12.994063817085873</v>
      </c>
      <c r="DK43" s="262">
        <v>15.322146359733196</v>
      </c>
      <c r="DL43" s="262">
        <v>8.4704646124499163</v>
      </c>
      <c r="DM43" s="57">
        <v>15.01368091396327</v>
      </c>
      <c r="DN43" s="57"/>
      <c r="DO43" s="57">
        <v>12.950682126461047</v>
      </c>
      <c r="DP43" s="57">
        <v>17.059617126944971</v>
      </c>
      <c r="DQ43" s="208">
        <v>19.388114386536202</v>
      </c>
      <c r="DR43" s="53">
        <v>14.823420281507367</v>
      </c>
      <c r="DS43" s="53">
        <v>6.9033520053777124</v>
      </c>
      <c r="DT43" s="53">
        <v>11.594763561502489</v>
      </c>
      <c r="DU43" s="53">
        <v>17.592382052219264</v>
      </c>
      <c r="DV43" s="53">
        <v>12.336363952788915</v>
      </c>
      <c r="DW43" s="53">
        <v>10.17419241076631</v>
      </c>
      <c r="DX43" s="53">
        <v>5.7201589247634956</v>
      </c>
      <c r="DY43" s="53">
        <v>8.3461418701543266</v>
      </c>
      <c r="DZ43" s="53">
        <v>12.071958355788041</v>
      </c>
      <c r="EB43" s="53">
        <v>11.726512772452267</v>
      </c>
      <c r="EC43" s="53">
        <v>8.5164723695299642</v>
      </c>
      <c r="ED43" s="53">
        <v>11.861443980827673</v>
      </c>
      <c r="EE43" s="53">
        <v>14.241355419350384</v>
      </c>
      <c r="EF43" s="53">
        <v>16.196432201028685</v>
      </c>
      <c r="EG43" s="53">
        <v>16.012100232899869</v>
      </c>
      <c r="EH43" s="53">
        <v>14.305840471348546</v>
      </c>
    </row>
    <row r="44" spans="1:144" ht="15">
      <c r="A44" s="190" t="s">
        <v>37</v>
      </c>
      <c r="B44" s="174">
        <v>52.255729619824848</v>
      </c>
      <c r="C44" s="174">
        <v>68.975296186283117</v>
      </c>
      <c r="D44" s="174">
        <v>66.375877523161705</v>
      </c>
      <c r="E44" s="174">
        <v>57.122169043602497</v>
      </c>
      <c r="F44" s="174">
        <v>54.08293004424624</v>
      </c>
      <c r="G44" s="174">
        <v>48.81670930551428</v>
      </c>
      <c r="H44" s="174">
        <v>56.251599955584112</v>
      </c>
      <c r="I44" s="174">
        <v>53.898236647378269</v>
      </c>
      <c r="J44" s="166">
        <v>48.146035960141717</v>
      </c>
      <c r="K44" s="166">
        <v>56.723123495535731</v>
      </c>
      <c r="L44" s="166">
        <v>46.410889278126206</v>
      </c>
      <c r="M44" s="166">
        <v>58.046171305513553</v>
      </c>
      <c r="N44" s="168"/>
      <c r="O44" s="166">
        <v>51.407686678844129</v>
      </c>
      <c r="P44" s="166">
        <v>38.346091922932288</v>
      </c>
      <c r="Q44" s="166">
        <v>27.181600633826548</v>
      </c>
      <c r="R44" s="166">
        <v>36.579244944535901</v>
      </c>
      <c r="S44" s="166">
        <v>32.31887646024046</v>
      </c>
      <c r="T44" s="168">
        <v>23.494931482928365</v>
      </c>
      <c r="U44" s="168">
        <v>14.695286345096775</v>
      </c>
      <c r="V44" s="168">
        <v>20.222016653138425</v>
      </c>
      <c r="W44" s="168">
        <v>16.606613380147365</v>
      </c>
      <c r="X44" s="168">
        <v>2.7052144571687791</v>
      </c>
      <c r="Y44" s="168">
        <v>-10.661801456178196</v>
      </c>
      <c r="Z44" s="168">
        <v>-23.999566404789036</v>
      </c>
      <c r="AA44" s="168"/>
      <c r="AB44" s="168">
        <v>-26.591036796449004</v>
      </c>
      <c r="AC44" s="168">
        <v>-35.717763167811185</v>
      </c>
      <c r="AD44" s="168">
        <v>-26.613352098779444</v>
      </c>
      <c r="AE44" s="168">
        <v>-35.124613112672847</v>
      </c>
      <c r="AF44" s="168">
        <v>-28.855912354153972</v>
      </c>
      <c r="AG44" s="168">
        <v>-22.278017564553139</v>
      </c>
      <c r="AH44" s="168">
        <v>-5.2446335516250713</v>
      </c>
      <c r="AI44" s="168">
        <v>-13.651022646087213</v>
      </c>
      <c r="AJ44" s="168">
        <v>-16.676822319166519</v>
      </c>
      <c r="AK44" s="168">
        <v>-9.1618238927285347</v>
      </c>
      <c r="AL44" s="168">
        <v>-2.4670715215290357</v>
      </c>
      <c r="AM44" s="168">
        <v>5.4717802600421805</v>
      </c>
      <c r="AN44" s="168"/>
      <c r="AO44" s="168">
        <v>8.753026753507001</v>
      </c>
      <c r="AP44" s="168">
        <v>29.674642275362459</v>
      </c>
      <c r="AQ44" s="168">
        <v>10.879889594071003</v>
      </c>
      <c r="AR44" s="168">
        <v>26.468095116372197</v>
      </c>
      <c r="AS44" s="168">
        <v>25.2091179535404</v>
      </c>
      <c r="AT44" s="168">
        <v>18.336209667385191</v>
      </c>
      <c r="AU44" s="168">
        <v>8.9725321876017006E-2</v>
      </c>
      <c r="AV44" s="168">
        <v>4.4179611575852533</v>
      </c>
      <c r="AW44" s="168">
        <v>8.3365474214134281</v>
      </c>
      <c r="AX44" s="168">
        <v>7.011415744863541</v>
      </c>
      <c r="AY44" s="168">
        <v>15.71170388591942</v>
      </c>
      <c r="AZ44" s="168">
        <v>24.219075744054336</v>
      </c>
      <c r="BA44" s="168"/>
      <c r="BB44" s="168">
        <v>17.523252662974812</v>
      </c>
      <c r="BC44" s="168">
        <v>14.182712469753952</v>
      </c>
      <c r="BD44" s="168">
        <v>35.734455175207103</v>
      </c>
      <c r="BE44" s="168">
        <v>20.362127449722209</v>
      </c>
      <c r="BF44" s="168">
        <v>24.322234766009274</v>
      </c>
      <c r="BG44" s="168">
        <v>33.64083601056322</v>
      </c>
      <c r="BH44" s="168">
        <v>39.005044516711479</v>
      </c>
      <c r="BI44" s="168">
        <v>34.051838970722002</v>
      </c>
      <c r="BJ44" s="168">
        <v>29.739186256110372</v>
      </c>
      <c r="BK44" s="168">
        <v>30.117599067982951</v>
      </c>
      <c r="BL44" s="168">
        <v>27.041028267537243</v>
      </c>
      <c r="BM44" s="168">
        <v>27.016892827369745</v>
      </c>
      <c r="BN44" s="168"/>
      <c r="BO44" s="168">
        <v>34.00883845449701</v>
      </c>
      <c r="BP44" s="168">
        <v>28.573819284844603</v>
      </c>
      <c r="BQ44" s="168">
        <v>19.278645747929232</v>
      </c>
      <c r="BR44" s="168">
        <v>27.954602277278312</v>
      </c>
      <c r="BS44" s="168">
        <v>17.03180426895419</v>
      </c>
      <c r="BT44" s="168">
        <v>5.5850567467513201</v>
      </c>
      <c r="BU44" s="168">
        <v>2.6348938548274674</v>
      </c>
      <c r="BV44" s="168">
        <v>3.9502356349777443</v>
      </c>
      <c r="BW44" s="168">
        <v>7.1050461333038726</v>
      </c>
      <c r="BX44" s="168">
        <v>8.2324575446338599</v>
      </c>
      <c r="BY44" s="168">
        <v>5.0079898433115915</v>
      </c>
      <c r="BZ44" s="168">
        <v>-3.0675026365014162</v>
      </c>
      <c r="CA44" s="168"/>
      <c r="CB44" s="168">
        <v>1.840602618670431</v>
      </c>
      <c r="CC44" s="168">
        <v>9.3304054466787818</v>
      </c>
      <c r="CD44" s="168">
        <v>0.99291142656670672</v>
      </c>
      <c r="CE44" s="168">
        <v>9.7138713477592944</v>
      </c>
      <c r="CF44" s="168">
        <v>6.7057628990929317</v>
      </c>
      <c r="CG44" s="168">
        <v>11.258212942427221</v>
      </c>
      <c r="CH44" s="168">
        <v>7.6422288464050894</v>
      </c>
      <c r="CI44" s="168">
        <v>11.961822991489399</v>
      </c>
      <c r="CJ44" s="168">
        <v>12.602556297683122</v>
      </c>
      <c r="CK44" s="168">
        <v>13.182828675980858</v>
      </c>
      <c r="CL44" s="168">
        <v>15.759028040645703</v>
      </c>
      <c r="CM44" s="168">
        <v>22.634092662524296</v>
      </c>
      <c r="CN44" s="177"/>
      <c r="CO44" s="53">
        <v>17.05903467268088</v>
      </c>
      <c r="CP44" s="53">
        <v>9.5870063261346559</v>
      </c>
      <c r="CQ44" s="168">
        <v>14.883020223893297</v>
      </c>
      <c r="CR44" s="53">
        <v>14.685342208432843</v>
      </c>
      <c r="CS44" s="53">
        <v>20.054826731126468</v>
      </c>
      <c r="CT44" s="53">
        <f>+'[6]Monetary Survey'!DK54</f>
        <v>21.109485543323856</v>
      </c>
      <c r="CU44" s="53">
        <f>+'[6]Monetary Survey'!DL54</f>
        <v>24.265294366015297</v>
      </c>
      <c r="CV44" s="53">
        <f>+'[6]Monetary Survey'!DM54</f>
        <v>14.767620128655537</v>
      </c>
      <c r="CW44" s="53">
        <f>+'[6]Monetary Survey'!DN54</f>
        <v>14.070041011301598</v>
      </c>
      <c r="CX44" s="53">
        <f>+'[6]Monetary Survey'!DO54</f>
        <v>14.760384281081102</v>
      </c>
      <c r="CY44" s="53">
        <f>+'[6]Monetary Survey'!DP54</f>
        <v>8.9548740942284866</v>
      </c>
      <c r="CZ44" s="53">
        <f>+'[6]Monetary Survey'!DQ54</f>
        <v>-7.6841451494421165</v>
      </c>
      <c r="DA44" s="177"/>
      <c r="DB44" s="195">
        <v>-7.9384001641550554</v>
      </c>
      <c r="DC44" s="53">
        <v>-5.9853053223055639</v>
      </c>
      <c r="DD44" s="53">
        <v>-4.055201997122694</v>
      </c>
      <c r="DE44" s="57">
        <v>-5.6405644280430636</v>
      </c>
      <c r="DF44" s="57">
        <v>-4.5014030077861378</v>
      </c>
      <c r="DG44" s="57">
        <v>-4.0826662596247019</v>
      </c>
      <c r="DH44" s="57">
        <v>-7.425707967018937</v>
      </c>
      <c r="DI44" s="57">
        <v>-8.7228570176235394</v>
      </c>
      <c r="DJ44" s="57">
        <v>-8.9102935846001685</v>
      </c>
      <c r="DK44" s="57">
        <v>0.29801106287293067</v>
      </c>
      <c r="DL44" s="57">
        <v>-4.3617301366749928</v>
      </c>
      <c r="DM44" s="57">
        <v>15.355710124709702</v>
      </c>
      <c r="DN44" s="57"/>
      <c r="DO44" s="57">
        <v>18.352353694866423</v>
      </c>
      <c r="DP44" s="57">
        <v>22.541102426886809</v>
      </c>
      <c r="DQ44" s="208">
        <v>16.306529069968832</v>
      </c>
      <c r="DR44" s="53">
        <v>11.587992242550555</v>
      </c>
      <c r="DS44" s="53">
        <v>9.1185369387790161</v>
      </c>
      <c r="DT44" s="53">
        <v>13.05717726532292</v>
      </c>
      <c r="DU44" s="53">
        <v>17.041408900823839</v>
      </c>
      <c r="DV44" s="53">
        <v>24.587953376477103</v>
      </c>
      <c r="DW44" s="53">
        <v>18.843509406983358</v>
      </c>
      <c r="DX44" s="53">
        <v>5.6768651518951003</v>
      </c>
      <c r="DY44" s="53">
        <v>22.387572472669049</v>
      </c>
      <c r="DZ44" s="53">
        <v>24.779658732876882</v>
      </c>
      <c r="EB44" s="53">
        <v>15.473363839908586</v>
      </c>
      <c r="EC44" s="53">
        <v>12.772723677872094</v>
      </c>
      <c r="ED44" s="53">
        <v>21.171320259416106</v>
      </c>
      <c r="EE44" s="53">
        <v>19.323814303267255</v>
      </c>
      <c r="EF44" s="53">
        <v>19.818512107942766</v>
      </c>
      <c r="EG44" s="53">
        <v>19.087509875988388</v>
      </c>
      <c r="EH44" s="53">
        <v>29.283452362520478</v>
      </c>
    </row>
    <row r="45" spans="1:144" ht="15">
      <c r="A45" s="190" t="s">
        <v>38</v>
      </c>
      <c r="B45" s="174">
        <v>-11.741684290716734</v>
      </c>
      <c r="C45" s="174">
        <v>-5.9027235579696651</v>
      </c>
      <c r="D45" s="174">
        <v>-12.781688394612416</v>
      </c>
      <c r="E45" s="174">
        <v>1.3326211032519808</v>
      </c>
      <c r="F45" s="174">
        <v>-6.2286509112479109</v>
      </c>
      <c r="G45" s="174">
        <v>-10.437880001013596</v>
      </c>
      <c r="H45" s="174">
        <v>-13.313927513374978</v>
      </c>
      <c r="I45" s="174">
        <v>-24.633017479966767</v>
      </c>
      <c r="J45" s="166">
        <v>-6.3200109784380345</v>
      </c>
      <c r="K45" s="166">
        <v>-0.34175750024910201</v>
      </c>
      <c r="L45" s="166">
        <v>-31.958072233199005</v>
      </c>
      <c r="M45" s="166">
        <v>-0.85582317458228374</v>
      </c>
      <c r="N45" s="168"/>
      <c r="O45" s="166">
        <v>-0.99943259717851163</v>
      </c>
      <c r="P45" s="166">
        <v>-4.4005137678058759</v>
      </c>
      <c r="Q45" s="166">
        <v>1.8342065786571879</v>
      </c>
      <c r="R45" s="166">
        <v>-9.5144853320738463</v>
      </c>
      <c r="S45" s="166">
        <v>-14.046350779482168</v>
      </c>
      <c r="T45" s="168">
        <v>-9.7758111429761811</v>
      </c>
      <c r="U45" s="168">
        <v>15.343997786048575</v>
      </c>
      <c r="V45" s="168">
        <v>9.6620743608178259</v>
      </c>
      <c r="W45" s="168">
        <v>-5.5727974118951806E-2</v>
      </c>
      <c r="X45" s="168">
        <v>0.72031809016077375</v>
      </c>
      <c r="Y45" s="168">
        <v>-8.0167909126657975</v>
      </c>
      <c r="Z45" s="168">
        <v>15.163762384843224</v>
      </c>
      <c r="AA45" s="168"/>
      <c r="AB45" s="168">
        <v>33.990271446234289</v>
      </c>
      <c r="AC45" s="168">
        <v>68.803115992445044</v>
      </c>
      <c r="AD45" s="168">
        <v>36.672205341822377</v>
      </c>
      <c r="AE45" s="168">
        <v>33.777904542816572</v>
      </c>
      <c r="AF45" s="168">
        <v>54.257425899520172</v>
      </c>
      <c r="AG45" s="168">
        <v>43.75180587216866</v>
      </c>
      <c r="AH45" s="168">
        <v>35.928912165649592</v>
      </c>
      <c r="AI45" s="168">
        <v>66.851089413331749</v>
      </c>
      <c r="AJ45" s="168">
        <v>68.073198065750631</v>
      </c>
      <c r="AK45" s="168">
        <v>70.79593085895732</v>
      </c>
      <c r="AL45" s="168">
        <v>77.728018522217212</v>
      </c>
      <c r="AM45" s="168">
        <v>68.053111520711838</v>
      </c>
      <c r="AN45" s="168"/>
      <c r="AO45" s="168">
        <v>54.124886429734971</v>
      </c>
      <c r="AP45" s="168">
        <v>35.423455155193551</v>
      </c>
      <c r="AQ45" s="168">
        <v>73.020946106836305</v>
      </c>
      <c r="AR45" s="168">
        <v>38.524297374619181</v>
      </c>
      <c r="AS45" s="168">
        <v>22.922956189398207</v>
      </c>
      <c r="AT45" s="168">
        <v>29.696521747333946</v>
      </c>
      <c r="AU45" s="168">
        <v>22.520869657895886</v>
      </c>
      <c r="AV45" s="168">
        <v>5.8147956939399847</v>
      </c>
      <c r="AW45" s="168">
        <v>6.0726968532481891</v>
      </c>
      <c r="AX45" s="168">
        <v>11.974145752451662</v>
      </c>
      <c r="AY45" s="168">
        <v>9.9955669273425656</v>
      </c>
      <c r="AZ45" s="168">
        <v>-0.1965542968956413</v>
      </c>
      <c r="BA45" s="168"/>
      <c r="BB45" s="168">
        <v>-1.6211663087957646</v>
      </c>
      <c r="BC45" s="168">
        <v>-10.004814030758297</v>
      </c>
      <c r="BD45" s="168">
        <v>-10.472044182844513</v>
      </c>
      <c r="BE45" s="168">
        <v>-1.5412900129736471</v>
      </c>
      <c r="BF45" s="168">
        <v>12.088168175619913</v>
      </c>
      <c r="BG45" s="168">
        <v>16.129370887204985</v>
      </c>
      <c r="BH45" s="168">
        <v>18.42098081022128</v>
      </c>
      <c r="BI45" s="168">
        <v>11.188222692417753</v>
      </c>
      <c r="BJ45" s="168">
        <v>11.955473369109114</v>
      </c>
      <c r="BK45" s="168">
        <v>12.277041951675244</v>
      </c>
      <c r="BL45" s="168">
        <v>22.989432055762805</v>
      </c>
      <c r="BM45" s="168">
        <v>8.1637130687334718</v>
      </c>
      <c r="BN45" s="168"/>
      <c r="BO45" s="168">
        <v>4.5671208184142387</v>
      </c>
      <c r="BP45" s="168">
        <v>14.512704909667761</v>
      </c>
      <c r="BQ45" s="168">
        <v>-2.7811800926325958</v>
      </c>
      <c r="BR45" s="168">
        <v>14.660218683867214</v>
      </c>
      <c r="BS45" s="168">
        <v>13.858935210091687</v>
      </c>
      <c r="BT45" s="168">
        <v>15.345106480042787</v>
      </c>
      <c r="BU45" s="168">
        <v>-0.72473362549537512</v>
      </c>
      <c r="BV45" s="168">
        <v>11.182458744722609</v>
      </c>
      <c r="BW45" s="168">
        <v>20.651177574444461</v>
      </c>
      <c r="BX45" s="168">
        <v>11.87308779734191</v>
      </c>
      <c r="BY45" s="168">
        <v>4.7719664559433568</v>
      </c>
      <c r="BZ45" s="168">
        <v>19.957649430437229</v>
      </c>
      <c r="CA45" s="168"/>
      <c r="CB45" s="168">
        <v>15.923177007192749</v>
      </c>
      <c r="CC45" s="168">
        <v>15.372199302163267</v>
      </c>
      <c r="CD45" s="168">
        <v>13.237471962217313</v>
      </c>
      <c r="CE45" s="168">
        <v>3.8579757527404723</v>
      </c>
      <c r="CF45" s="168">
        <v>7.8374846098443669</v>
      </c>
      <c r="CG45" s="168">
        <v>4.4685010246181491</v>
      </c>
      <c r="CH45" s="168">
        <v>5.2370958164015207</v>
      </c>
      <c r="CI45" s="168">
        <v>11.550880369712615</v>
      </c>
      <c r="CJ45" s="168">
        <v>12.641767556675006</v>
      </c>
      <c r="CK45" s="168">
        <v>5.4922106712596275</v>
      </c>
      <c r="CL45" s="168">
        <v>7.104217356475246</v>
      </c>
      <c r="CM45" s="168">
        <v>-1.7822686961586243</v>
      </c>
      <c r="CN45" s="177"/>
      <c r="CO45" s="53">
        <v>9.0440842593229718</v>
      </c>
      <c r="CP45" s="53">
        <v>6.1084218564437407</v>
      </c>
      <c r="CQ45" s="168">
        <v>24.717527050657637</v>
      </c>
      <c r="CR45" s="195">
        <v>25.472379007335363</v>
      </c>
      <c r="CS45" s="195">
        <v>24.017815756308281</v>
      </c>
      <c r="CT45" s="53">
        <f>+'[6]Monetary Survey'!DK55</f>
        <v>25.289514803613542</v>
      </c>
      <c r="CU45" s="53">
        <f>+'[6]Monetary Survey'!DL55</f>
        <v>28.011778902660438</v>
      </c>
      <c r="CV45" s="53">
        <f>+'[6]Monetary Survey'!DM55</f>
        <v>13.620828872967621</v>
      </c>
      <c r="CW45" s="53">
        <f>+'[6]Monetary Survey'!DN55</f>
        <v>6.3056843611334159</v>
      </c>
      <c r="CX45" s="53">
        <f>+'[6]Monetary Survey'!DO55</f>
        <v>18.474125346785456</v>
      </c>
      <c r="CY45" s="53">
        <f>+'[6]Monetary Survey'!DP55</f>
        <v>32.051182915959572</v>
      </c>
      <c r="CZ45" s="53">
        <f>+'[6]Monetary Survey'!DQ55</f>
        <v>43.301570756121578</v>
      </c>
      <c r="DA45" s="177"/>
      <c r="DB45" s="195">
        <v>42.301654578312508</v>
      </c>
      <c r="DC45" s="53">
        <v>38.594618751225653</v>
      </c>
      <c r="DD45" s="53">
        <v>17.46993961970756</v>
      </c>
      <c r="DE45" s="57">
        <v>19.007019755802901</v>
      </c>
      <c r="DF45" s="57">
        <v>27.584610775884627</v>
      </c>
      <c r="DG45" s="57">
        <v>19.329181101004409</v>
      </c>
      <c r="DH45" s="57">
        <v>39.678045317679647</v>
      </c>
      <c r="DI45" s="57">
        <v>41.009438985029846</v>
      </c>
      <c r="DJ45" s="57">
        <v>40.083268179999351</v>
      </c>
      <c r="DK45" s="57">
        <v>33.888389734152724</v>
      </c>
      <c r="DL45" s="57">
        <v>22.167438194313732</v>
      </c>
      <c r="DM45" s="57">
        <v>14.713852027365832</v>
      </c>
      <c r="DN45" s="57"/>
      <c r="DO45" s="57">
        <v>8.613983909447569</v>
      </c>
      <c r="DP45" s="57">
        <v>12.568840243222226</v>
      </c>
      <c r="DQ45" s="208">
        <v>22.045250518044114</v>
      </c>
      <c r="DR45" s="53">
        <v>17.723192286101153</v>
      </c>
      <c r="DS45" s="53">
        <v>5.0699316629667379</v>
      </c>
      <c r="DT45" s="53">
        <v>10.30643141880438</v>
      </c>
      <c r="DU45" s="53">
        <v>18.019493242399747</v>
      </c>
      <c r="DV45" s="53">
        <v>3.466998619821382</v>
      </c>
      <c r="DW45" s="53">
        <v>3.2025732821051776</v>
      </c>
      <c r="DX45" s="53">
        <v>5.7602372338381826</v>
      </c>
      <c r="DY45" s="53">
        <v>-3.3869177595640281</v>
      </c>
      <c r="DZ45" s="53">
        <v>0.86983182292699723</v>
      </c>
      <c r="EB45" s="53">
        <v>8.4486662641082688</v>
      </c>
      <c r="EC45" s="53">
        <v>4.7205783476134826</v>
      </c>
      <c r="ED45" s="53">
        <v>4.2113507035070654</v>
      </c>
      <c r="EE45" s="53">
        <v>9.923566424382841</v>
      </c>
      <c r="EF45" s="53">
        <v>13.083066272100695</v>
      </c>
      <c r="EG45" s="53">
        <v>13.235215394534052</v>
      </c>
      <c r="EH45" s="53">
        <v>2.7915049151577165</v>
      </c>
    </row>
    <row r="46" spans="1:144" ht="15">
      <c r="A46" s="191" t="s">
        <v>50</v>
      </c>
      <c r="B46" s="174">
        <v>21.004419280306877</v>
      </c>
      <c r="C46" s="174">
        <v>15.501528684359258</v>
      </c>
      <c r="D46" s="174">
        <v>23.047227570002775</v>
      </c>
      <c r="E46" s="174">
        <v>22.206529350475577</v>
      </c>
      <c r="F46" s="174">
        <v>27.737380170296277</v>
      </c>
      <c r="G46" s="174">
        <v>48.40625056490174</v>
      </c>
      <c r="H46" s="174">
        <v>53.403010466732127</v>
      </c>
      <c r="I46" s="174">
        <v>62.817406832440668</v>
      </c>
      <c r="J46" s="166">
        <v>59.465670344821064</v>
      </c>
      <c r="K46" s="166">
        <v>53.349010368819705</v>
      </c>
      <c r="L46" s="166">
        <v>60.931313149250371</v>
      </c>
      <c r="M46" s="166">
        <v>32.887084775467969</v>
      </c>
      <c r="N46" s="168"/>
      <c r="O46" s="166">
        <v>37.95102466230793</v>
      </c>
      <c r="P46" s="166">
        <v>45.84666628180841</v>
      </c>
      <c r="Q46" s="166">
        <v>53.013912056218203</v>
      </c>
      <c r="R46" s="166">
        <v>63.97805820074251</v>
      </c>
      <c r="S46" s="166">
        <v>71.473188869411189</v>
      </c>
      <c r="T46" s="168">
        <v>56.068245486292255</v>
      </c>
      <c r="U46" s="168">
        <v>52.770312171370847</v>
      </c>
      <c r="V46" s="168">
        <v>50.401741165561162</v>
      </c>
      <c r="W46" s="168">
        <v>51.826995018945553</v>
      </c>
      <c r="X46" s="168">
        <v>58.483987872974183</v>
      </c>
      <c r="Y46" s="168">
        <v>41.98844746888895</v>
      </c>
      <c r="Z46" s="168">
        <v>28.639256861886452</v>
      </c>
      <c r="AA46" s="168"/>
      <c r="AB46" s="168">
        <v>24.755129857882906</v>
      </c>
      <c r="AC46" s="168">
        <v>25.837417898059229</v>
      </c>
      <c r="AD46" s="168">
        <v>31.953415157718126</v>
      </c>
      <c r="AE46" s="168">
        <v>31.87748985413063</v>
      </c>
      <c r="AF46" s="168">
        <v>22.561275356500005</v>
      </c>
      <c r="AG46" s="168">
        <v>18.064270752820249</v>
      </c>
      <c r="AH46" s="168">
        <v>23.677740276643974</v>
      </c>
      <c r="AI46" s="168">
        <v>22.077396339301259</v>
      </c>
      <c r="AJ46" s="168">
        <v>27.493845037210619</v>
      </c>
      <c r="AK46" s="168">
        <v>25.518919020345024</v>
      </c>
      <c r="AL46" s="168">
        <v>33.978511947223808</v>
      </c>
      <c r="AM46" s="168">
        <v>43.531389694195894</v>
      </c>
      <c r="AN46" s="168"/>
      <c r="AO46" s="168">
        <v>45.66889002941889</v>
      </c>
      <c r="AP46" s="168">
        <v>42.888814776100816</v>
      </c>
      <c r="AQ46" s="168">
        <v>30.509240859315753</v>
      </c>
      <c r="AR46" s="168">
        <v>27.869869023364075</v>
      </c>
      <c r="AS46" s="168">
        <v>23.894123042152373</v>
      </c>
      <c r="AT46" s="168">
        <v>22.684656093514889</v>
      </c>
      <c r="AU46" s="168">
        <v>14.942739018435589</v>
      </c>
      <c r="AV46" s="168">
        <v>13.155917980760819</v>
      </c>
      <c r="AW46" s="168">
        <v>10.182931817542979</v>
      </c>
      <c r="AX46" s="168">
        <v>7.5440391742120454</v>
      </c>
      <c r="AY46" s="168">
        <v>6.9755139138995474</v>
      </c>
      <c r="AZ46" s="168">
        <v>12.441183969412023</v>
      </c>
      <c r="BA46" s="168"/>
      <c r="BB46" s="168">
        <v>17.04659353416902</v>
      </c>
      <c r="BC46" s="168">
        <v>19.618433182507758</v>
      </c>
      <c r="BD46" s="168">
        <v>15.936708420652138</v>
      </c>
      <c r="BE46" s="168">
        <v>19.381472706888886</v>
      </c>
      <c r="BF46" s="168">
        <v>25.764066454718886</v>
      </c>
      <c r="BG46" s="168">
        <v>28.541877412423986</v>
      </c>
      <c r="BH46" s="168">
        <v>28.464875153551873</v>
      </c>
      <c r="BI46" s="168">
        <v>34.641746213879401</v>
      </c>
      <c r="BJ46" s="168">
        <v>33.325764533915873</v>
      </c>
      <c r="BK46" s="168">
        <v>35.630336610004065</v>
      </c>
      <c r="BL46" s="168">
        <v>36.109679481137903</v>
      </c>
      <c r="BM46" s="168">
        <v>34.836160504297425</v>
      </c>
      <c r="BN46" s="168"/>
      <c r="BO46" s="168">
        <v>33.452019709249612</v>
      </c>
      <c r="BP46" s="168">
        <v>31.083833530077186</v>
      </c>
      <c r="BQ46" s="168">
        <v>34.845114889014326</v>
      </c>
      <c r="BR46" s="168">
        <v>30.479818598493637</v>
      </c>
      <c r="BS46" s="168">
        <v>34.744102281608633</v>
      </c>
      <c r="BT46" s="168">
        <v>38.354183989703529</v>
      </c>
      <c r="BU46" s="168">
        <v>40.231588299075838</v>
      </c>
      <c r="BV46" s="168">
        <v>39.718338669962549</v>
      </c>
      <c r="BW46" s="168">
        <v>41.103753696037984</v>
      </c>
      <c r="BX46" s="168">
        <v>39.755611202237304</v>
      </c>
      <c r="BY46" s="168">
        <v>38.773642975187101</v>
      </c>
      <c r="BZ46" s="168">
        <v>34.221025667924835</v>
      </c>
      <c r="CA46" s="168"/>
      <c r="CB46" s="168">
        <v>33.689369590411417</v>
      </c>
      <c r="CC46" s="168">
        <v>35.070195337500792</v>
      </c>
      <c r="CD46" s="168">
        <v>35.815772146967618</v>
      </c>
      <c r="CE46" s="168">
        <v>34.892639485101</v>
      </c>
      <c r="CF46" s="168">
        <v>31.372607832498232</v>
      </c>
      <c r="CG46" s="168">
        <v>26.611628679580022</v>
      </c>
      <c r="CH46" s="168">
        <v>29.27975755036158</v>
      </c>
      <c r="CI46" s="168">
        <v>24.94435569524471</v>
      </c>
      <c r="CJ46" s="168">
        <v>25.054096227223212</v>
      </c>
      <c r="CK46" s="168">
        <v>25.803843932987732</v>
      </c>
      <c r="CL46" s="168">
        <v>23.793786179136561</v>
      </c>
      <c r="CM46" s="168">
        <v>26.174457885930408</v>
      </c>
      <c r="CN46" s="177"/>
      <c r="CO46" s="53">
        <v>22.53550368258594</v>
      </c>
      <c r="CP46" s="53">
        <v>22.439390513130945</v>
      </c>
      <c r="CQ46" s="168">
        <v>19.222193030399183</v>
      </c>
      <c r="CR46" s="53">
        <v>19.739075596969613</v>
      </c>
      <c r="CS46" s="53">
        <v>19.91191062224182</v>
      </c>
      <c r="CT46" s="53">
        <f>+'[6]Monetary Survey'!DK56</f>
        <v>19.986751316737283</v>
      </c>
      <c r="CU46" s="53">
        <f>+'[6]Monetary Survey'!DL56</f>
        <v>16.683978517687166</v>
      </c>
      <c r="CV46" s="53">
        <f>+'[6]Monetary Survey'!DM56</f>
        <v>17.917699267464982</v>
      </c>
      <c r="CW46" s="53">
        <f>+'[6]Monetary Survey'!DN56</f>
        <v>14.096677125396766</v>
      </c>
      <c r="CX46" s="53">
        <f>+'[6]Monetary Survey'!DO56</f>
        <v>13.920339722238623</v>
      </c>
      <c r="CY46" s="53">
        <f>+'[6]Monetary Survey'!DP56</f>
        <v>16.314684579354008</v>
      </c>
      <c r="CZ46" s="53">
        <f>+'[6]Monetary Survey'!DQ56</f>
        <v>15.242273825300501</v>
      </c>
      <c r="DA46" s="177"/>
      <c r="DB46" s="195">
        <v>15.693804039652832</v>
      </c>
      <c r="DC46" s="53">
        <v>9.8761695092747743</v>
      </c>
      <c r="DD46" s="53">
        <v>11.953486557257747</v>
      </c>
      <c r="DE46" s="57">
        <v>14.419670067263013</v>
      </c>
      <c r="DF46" s="57">
        <v>13.267646194080001</v>
      </c>
      <c r="DG46" s="57">
        <v>13.651447883483826</v>
      </c>
      <c r="DH46" s="57">
        <v>16.709957468982537</v>
      </c>
      <c r="DI46" s="57">
        <v>15.71516257426704</v>
      </c>
      <c r="DJ46" s="57">
        <v>14.598768104473933</v>
      </c>
      <c r="DK46" s="57">
        <v>14.562868077458702</v>
      </c>
      <c r="DL46" s="57">
        <v>13.482233873804205</v>
      </c>
      <c r="DM46" s="57">
        <v>13.008193809892916</v>
      </c>
      <c r="DN46" s="57"/>
      <c r="DO46" s="57">
        <v>14.324654526210324</v>
      </c>
      <c r="DP46" s="57">
        <v>20.621646226352894</v>
      </c>
      <c r="DQ46" s="208">
        <v>18.502520899790852</v>
      </c>
      <c r="DR46" s="53">
        <v>15.435664198159898</v>
      </c>
      <c r="DS46" s="53">
        <v>14.380653008329219</v>
      </c>
      <c r="DT46" s="53">
        <v>16.58217594617588</v>
      </c>
      <c r="DU46" s="53">
        <v>13.875658847254186</v>
      </c>
      <c r="DV46" s="53">
        <v>15.676261934446757</v>
      </c>
      <c r="DW46" s="53">
        <v>19.610078136595249</v>
      </c>
      <c r="DX46" s="53">
        <v>20.678419823534128</v>
      </c>
      <c r="DY46" s="53">
        <v>20.697662374115239</v>
      </c>
      <c r="DZ46" s="53">
        <v>19.782228137018038</v>
      </c>
      <c r="EB46" s="53">
        <v>20.583522486634351</v>
      </c>
      <c r="EC46" s="53">
        <v>20.287975823059242</v>
      </c>
      <c r="ED46" s="53">
        <v>17.356522308565189</v>
      </c>
      <c r="EE46" s="53">
        <v>19.408244468912983</v>
      </c>
      <c r="EF46" s="53">
        <v>18.583770442730255</v>
      </c>
      <c r="EG46" s="53">
        <v>16.229303942727327</v>
      </c>
      <c r="EH46" s="53">
        <v>16.874449117847078</v>
      </c>
    </row>
    <row r="47" spans="1:144" ht="15">
      <c r="A47" s="190" t="s">
        <v>37</v>
      </c>
      <c r="B47" s="174">
        <v>133.44047414833699</v>
      </c>
      <c r="C47" s="174">
        <v>113.22441720021939</v>
      </c>
      <c r="D47" s="174">
        <v>113.02866830261942</v>
      </c>
      <c r="E47" s="174">
        <v>118.57421331152133</v>
      </c>
      <c r="F47" s="174">
        <v>133.58767380620685</v>
      </c>
      <c r="G47" s="174">
        <v>183.80477686011022</v>
      </c>
      <c r="H47" s="174">
        <v>207.77003611001794</v>
      </c>
      <c r="I47" s="174">
        <v>201.58267054274421</v>
      </c>
      <c r="J47" s="166">
        <v>156.73035987324255</v>
      </c>
      <c r="K47" s="166">
        <v>140.27249673582799</v>
      </c>
      <c r="L47" s="166">
        <v>184.531056725658</v>
      </c>
      <c r="M47" s="166">
        <v>118.01857922150867</v>
      </c>
      <c r="N47" s="168"/>
      <c r="O47" s="166">
        <v>103.29485347666409</v>
      </c>
      <c r="P47" s="166">
        <v>116.70859353611522</v>
      </c>
      <c r="Q47" s="166">
        <v>127.18619467173687</v>
      </c>
      <c r="R47" s="166">
        <v>124.88988518575067</v>
      </c>
      <c r="S47" s="166">
        <v>138.7817998581443</v>
      </c>
      <c r="T47" s="168">
        <v>99.873513077332376</v>
      </c>
      <c r="U47" s="168">
        <v>86.319771793068611</v>
      </c>
      <c r="V47" s="168">
        <v>74.888396229041518</v>
      </c>
      <c r="W47" s="168">
        <v>86.621411995767545</v>
      </c>
      <c r="X47" s="168">
        <v>82.75179480236406</v>
      </c>
      <c r="Y47" s="168">
        <v>47.004554882424486</v>
      </c>
      <c r="Z47" s="168">
        <v>15.95819758694654</v>
      </c>
      <c r="AA47" s="168"/>
      <c r="AB47" s="168">
        <v>-1.1824559852906589</v>
      </c>
      <c r="AC47" s="168">
        <v>-32.078248434344772</v>
      </c>
      <c r="AD47" s="168">
        <v>-52.127439790300208</v>
      </c>
      <c r="AE47" s="168">
        <v>-45.306836204074827</v>
      </c>
      <c r="AF47" s="168">
        <v>-54.870182143550345</v>
      </c>
      <c r="AG47" s="168">
        <v>-58.613094396651995</v>
      </c>
      <c r="AH47" s="168">
        <v>-55.758962046030938</v>
      </c>
      <c r="AI47" s="168">
        <v>-53.243921282511508</v>
      </c>
      <c r="AJ47" s="168">
        <v>-54.120240345472901</v>
      </c>
      <c r="AK47" s="168">
        <v>-54.772463467355287</v>
      </c>
      <c r="AL47" s="168">
        <v>-54.994439134945985</v>
      </c>
      <c r="AM47" s="168">
        <v>-45.734224846293529</v>
      </c>
      <c r="AN47" s="168"/>
      <c r="AO47" s="168">
        <v>-40.532360748025766</v>
      </c>
      <c r="AP47" s="168">
        <v>-18.176871488490917</v>
      </c>
      <c r="AQ47" s="168">
        <v>7.4528254763148567</v>
      </c>
      <c r="AR47" s="168">
        <v>-4.6744891830466599</v>
      </c>
      <c r="AS47" s="168">
        <v>1.1713535168016023</v>
      </c>
      <c r="AT47" s="168">
        <v>11.773415035275065</v>
      </c>
      <c r="AU47" s="168">
        <v>1.9314042740218298</v>
      </c>
      <c r="AV47" s="168">
        <v>2.0603325016251688</v>
      </c>
      <c r="AW47" s="168">
        <v>8.1186717984608663</v>
      </c>
      <c r="AX47" s="168">
        <v>16.83810031169908</v>
      </c>
      <c r="AY47" s="168">
        <v>22.217817243947962</v>
      </c>
      <c r="AZ47" s="168">
        <v>31.418380050110358</v>
      </c>
      <c r="BA47" s="168"/>
      <c r="BB47" s="168">
        <v>41.554476782590797</v>
      </c>
      <c r="BC47" s="168">
        <v>57.818650728475575</v>
      </c>
      <c r="BD47" s="168">
        <v>58.827733143172367</v>
      </c>
      <c r="BE47" s="168">
        <v>61.555343897659128</v>
      </c>
      <c r="BF47" s="168">
        <v>68.24628980737387</v>
      </c>
      <c r="BG47" s="168">
        <v>67.082108723564119</v>
      </c>
      <c r="BH47" s="168">
        <v>79.697292256972389</v>
      </c>
      <c r="BI47" s="168">
        <v>76.997582736683626</v>
      </c>
      <c r="BJ47" s="168">
        <v>67.3310042473274</v>
      </c>
      <c r="BK47" s="168">
        <v>63.019218652806615</v>
      </c>
      <c r="BL47" s="168">
        <v>62.585610567008104</v>
      </c>
      <c r="BM47" s="168">
        <v>63.881060122518193</v>
      </c>
      <c r="BN47" s="168"/>
      <c r="BO47" s="168">
        <v>58.972668886719703</v>
      </c>
      <c r="BP47" s="168">
        <v>60.433055555934487</v>
      </c>
      <c r="BQ47" s="168">
        <v>74.323092009288274</v>
      </c>
      <c r="BR47" s="168">
        <v>69.161224799345604</v>
      </c>
      <c r="BS47" s="168">
        <v>69.180549205540871</v>
      </c>
      <c r="BT47" s="168">
        <v>63.931668545242701</v>
      </c>
      <c r="BU47" s="168">
        <v>50.357288060371957</v>
      </c>
      <c r="BV47" s="168">
        <v>48.642144722100966</v>
      </c>
      <c r="BW47" s="168">
        <v>48.640348653774822</v>
      </c>
      <c r="BX47" s="168">
        <v>48.497281930886913</v>
      </c>
      <c r="BY47" s="168">
        <v>47.856201406154753</v>
      </c>
      <c r="BZ47" s="168">
        <v>39.275837822021458</v>
      </c>
      <c r="CA47" s="168"/>
      <c r="CB47" s="168">
        <v>42.148353694884548</v>
      </c>
      <c r="CC47" s="168">
        <v>35.366450681478256</v>
      </c>
      <c r="CD47" s="168">
        <v>28.3769810921101</v>
      </c>
      <c r="CE47" s="168">
        <v>30.365988684520687</v>
      </c>
      <c r="CF47" s="168">
        <v>29.348285363018931</v>
      </c>
      <c r="CG47" s="168">
        <v>30.978482377966486</v>
      </c>
      <c r="CH47" s="168">
        <v>32.997911674723895</v>
      </c>
      <c r="CI47" s="168">
        <v>30.847161959245142</v>
      </c>
      <c r="CJ47" s="168">
        <v>31.065345127173799</v>
      </c>
      <c r="CK47" s="168">
        <v>29.328584655268116</v>
      </c>
      <c r="CL47" s="168">
        <v>31.80968841705257</v>
      </c>
      <c r="CM47" s="168">
        <v>40.085701181221538</v>
      </c>
      <c r="CN47" s="177"/>
      <c r="CO47" s="53">
        <v>36.777207776616649</v>
      </c>
      <c r="CP47" s="53">
        <v>36.495084966342432</v>
      </c>
      <c r="CQ47" s="168">
        <v>35.24615701182671</v>
      </c>
      <c r="CR47" s="53">
        <v>33.365056512069543</v>
      </c>
      <c r="CS47" s="53">
        <v>37.876931577203266</v>
      </c>
      <c r="CT47" s="53">
        <f>+'[6]Monetary Survey'!DK57</f>
        <v>37.45096223774641</v>
      </c>
      <c r="CU47" s="53">
        <f>+'[6]Monetary Survey'!DL57</f>
        <v>37.354726122988723</v>
      </c>
      <c r="CV47" s="53">
        <f>+'[6]Monetary Survey'!DM57</f>
        <v>37.041072342221412</v>
      </c>
      <c r="CW47" s="53">
        <f>+'[6]Monetary Survey'!DN57</f>
        <v>37.178935834145989</v>
      </c>
      <c r="CX47" s="53">
        <f>+'[6]Monetary Survey'!DO57</f>
        <v>35.791213818120582</v>
      </c>
      <c r="CY47" s="53">
        <f>+'[6]Monetary Survey'!DP57</f>
        <v>24.9397244473369</v>
      </c>
      <c r="CZ47" s="53">
        <f>+'[6]Monetary Survey'!DQ57</f>
        <v>10.681235085679504</v>
      </c>
      <c r="DA47" s="177"/>
      <c r="DB47" s="195">
        <v>12.279999630756635</v>
      </c>
      <c r="DC47" s="53">
        <v>1.9585530905036279</v>
      </c>
      <c r="DD47" s="53">
        <v>10.705726905357295</v>
      </c>
      <c r="DE47" s="57">
        <v>12.559694142527718</v>
      </c>
      <c r="DF47" s="57">
        <v>7.7438668238518886</v>
      </c>
      <c r="DG47" s="57">
        <v>7.2710179706681117</v>
      </c>
      <c r="DH47" s="57">
        <v>8.1142304415773339</v>
      </c>
      <c r="DI47" s="57">
        <v>7.5172573264834313</v>
      </c>
      <c r="DJ47" s="57">
        <v>1.2463263404241474</v>
      </c>
      <c r="DK47" s="57">
        <v>0.62217908938306721</v>
      </c>
      <c r="DL47" s="57">
        <v>4.6763986557523367</v>
      </c>
      <c r="DM47" s="57">
        <v>11.698544550842271</v>
      </c>
      <c r="DN47" s="57"/>
      <c r="DO47" s="57">
        <v>8.0968469818623277</v>
      </c>
      <c r="DP47" s="57">
        <v>23.552136365697635</v>
      </c>
      <c r="DQ47" s="208">
        <v>18.610468851770847</v>
      </c>
      <c r="DR47" s="53">
        <v>19.973492805902836</v>
      </c>
      <c r="DS47" s="53">
        <v>23.706592283251069</v>
      </c>
      <c r="DT47" s="53">
        <v>26.592000154536393</v>
      </c>
      <c r="DU47" s="53">
        <v>24.038298707470048</v>
      </c>
      <c r="DV47" s="53">
        <v>24.025129748002612</v>
      </c>
      <c r="DW47" s="53">
        <v>32.01182368864329</v>
      </c>
      <c r="DX47" s="53">
        <v>36.347915150017712</v>
      </c>
      <c r="DY47" s="53">
        <v>38.250726749210372</v>
      </c>
      <c r="DZ47" s="53">
        <v>24.802307890319369</v>
      </c>
      <c r="EB47" s="53">
        <v>34.83207314347672</v>
      </c>
      <c r="EC47" s="53">
        <v>33.12975475268135</v>
      </c>
      <c r="ED47" s="53">
        <v>23.527647552016845</v>
      </c>
      <c r="EE47" s="53">
        <v>22.881715870026767</v>
      </c>
      <c r="EF47" s="53">
        <v>22.654398746612173</v>
      </c>
      <c r="EG47" s="53">
        <v>20.830085523441539</v>
      </c>
      <c r="EH47" s="53">
        <v>23.825186888984234</v>
      </c>
    </row>
    <row r="48" spans="1:144" ht="15">
      <c r="A48" s="190" t="s">
        <v>38</v>
      </c>
      <c r="B48" s="174">
        <v>-9.3035366595174196</v>
      </c>
      <c r="C48" s="174">
        <v>-11.558450450422271</v>
      </c>
      <c r="D48" s="174">
        <v>-3.9342075238371876</v>
      </c>
      <c r="E48" s="174">
        <v>-7.6207925516234809</v>
      </c>
      <c r="F48" s="174">
        <v>-4.9694793402428701</v>
      </c>
      <c r="G48" s="174">
        <v>4.7909690514732546</v>
      </c>
      <c r="H48" s="174">
        <v>1.809351822845457</v>
      </c>
      <c r="I48" s="174">
        <v>10.005492677703216</v>
      </c>
      <c r="J48" s="174">
        <v>16.217025571680338</v>
      </c>
      <c r="K48" s="174">
        <v>11.947176261835523</v>
      </c>
      <c r="L48" s="166">
        <v>0.24965107213125748</v>
      </c>
      <c r="M48" s="166">
        <v>-15.081761315441639</v>
      </c>
      <c r="N48" s="168"/>
      <c r="O48" s="166">
        <v>-7.384790722939627</v>
      </c>
      <c r="P48" s="166">
        <v>-1.4602582084347517</v>
      </c>
      <c r="Q48" s="166">
        <v>3.6939163747340444</v>
      </c>
      <c r="R48" s="166">
        <v>19.370427406455633</v>
      </c>
      <c r="S48" s="166">
        <v>20.351614546516544</v>
      </c>
      <c r="T48" s="168">
        <v>17.852096210353082</v>
      </c>
      <c r="U48" s="168">
        <v>18.872943864499376</v>
      </c>
      <c r="V48" s="168">
        <v>24.852816896638757</v>
      </c>
      <c r="W48" s="168">
        <v>17.64996376595829</v>
      </c>
      <c r="X48" s="168">
        <v>33.67529441547282</v>
      </c>
      <c r="Y48" s="168">
        <v>34.998827993524031</v>
      </c>
      <c r="Z48" s="168">
        <v>46.984229743508877</v>
      </c>
      <c r="AA48" s="168"/>
      <c r="AB48" s="168">
        <v>64.256346863998715</v>
      </c>
      <c r="AC48" s="168">
        <v>110.86748578869407</v>
      </c>
      <c r="AD48" s="168">
        <v>154.44525681031379</v>
      </c>
      <c r="AE48" s="168">
        <v>138.36773381006583</v>
      </c>
      <c r="AF48" s="168">
        <v>139.24232468265285</v>
      </c>
      <c r="AG48" s="168">
        <v>131.51458474430498</v>
      </c>
      <c r="AH48" s="168">
        <v>149.47685507579158</v>
      </c>
      <c r="AI48" s="168">
        <v>132.16127275942787</v>
      </c>
      <c r="AJ48" s="168">
        <v>154.65649307002153</v>
      </c>
      <c r="AK48" s="168">
        <v>137.73440616902533</v>
      </c>
      <c r="AL48" s="168">
        <v>168.98215682728465</v>
      </c>
      <c r="AM48" s="168">
        <v>145.40846203639651</v>
      </c>
      <c r="AN48" s="168"/>
      <c r="AO48" s="168">
        <v>124.64693671093272</v>
      </c>
      <c r="AP48" s="168">
        <v>71.767204141313954</v>
      </c>
      <c r="AQ48" s="168">
        <v>36.828906881684048</v>
      </c>
      <c r="AR48" s="168">
        <v>38.172354139002692</v>
      </c>
      <c r="AS48" s="168">
        <v>30.353189045427911</v>
      </c>
      <c r="AT48" s="168">
        <v>25.570662380917113</v>
      </c>
      <c r="AU48" s="168">
        <v>18.596778834619343</v>
      </c>
      <c r="AV48" s="168">
        <v>16.421828894918093</v>
      </c>
      <c r="AW48" s="168">
        <v>10.762394171529039</v>
      </c>
      <c r="AX48" s="168">
        <v>5.0728824958551826</v>
      </c>
      <c r="AY48" s="168">
        <v>3.1057826605084955</v>
      </c>
      <c r="AZ48" s="168">
        <v>7.6520081717659707</v>
      </c>
      <c r="BA48" s="168"/>
      <c r="BB48" s="168">
        <v>11.102593257753071</v>
      </c>
      <c r="BC48" s="168">
        <v>11.012907683885274</v>
      </c>
      <c r="BD48" s="168">
        <v>6.7044331627455165</v>
      </c>
      <c r="BE48" s="168">
        <v>10.170664574261522</v>
      </c>
      <c r="BF48" s="168">
        <v>16.391649593673037</v>
      </c>
      <c r="BG48" s="168">
        <v>19.468107253727695</v>
      </c>
      <c r="BH48" s="168">
        <v>16.098814136302892</v>
      </c>
      <c r="BI48" s="168">
        <v>23.712506905210603</v>
      </c>
      <c r="BJ48" s="168">
        <v>24.007929160006427</v>
      </c>
      <c r="BK48" s="168">
        <v>27.532613866585208</v>
      </c>
      <c r="BL48" s="168">
        <v>28.141979973448372</v>
      </c>
      <c r="BM48" s="168">
        <v>25.888024264591309</v>
      </c>
      <c r="BN48" s="168"/>
      <c r="BO48" s="168">
        <v>25.565885776526017</v>
      </c>
      <c r="BP48" s="168">
        <v>21.684587852059849</v>
      </c>
      <c r="BQ48" s="168">
        <v>22.196554819963453</v>
      </c>
      <c r="BR48" s="168">
        <v>18.091513825927109</v>
      </c>
      <c r="BS48" s="168">
        <v>23.761977682203735</v>
      </c>
      <c r="BT48" s="168">
        <v>29.93230003230255</v>
      </c>
      <c r="BU48" s="168">
        <v>36.448684176529952</v>
      </c>
      <c r="BV48" s="168">
        <v>36.423906860725964</v>
      </c>
      <c r="BW48" s="168">
        <v>38.317174886282572</v>
      </c>
      <c r="BX48" s="168">
        <v>36.451911322047891</v>
      </c>
      <c r="BY48" s="168">
        <v>35.305631055936402</v>
      </c>
      <c r="BZ48" s="168">
        <v>32.193753415836483</v>
      </c>
      <c r="CA48" s="168"/>
      <c r="CB48" s="168">
        <v>30.380029193943983</v>
      </c>
      <c r="CC48" s="168">
        <v>34.945105830674663</v>
      </c>
      <c r="CD48" s="168">
        <v>39.215815976782096</v>
      </c>
      <c r="CE48" s="168">
        <v>36.969315521639146</v>
      </c>
      <c r="CF48" s="168">
        <v>32.255100116199912</v>
      </c>
      <c r="CG48" s="168">
        <v>24.797509574276361</v>
      </c>
      <c r="CH48" s="168">
        <v>27.749083187108624</v>
      </c>
      <c r="CI48" s="168">
        <v>22.570029359402326</v>
      </c>
      <c r="CJ48" s="168">
        <v>22.66561698751552</v>
      </c>
      <c r="CK48" s="168">
        <v>24.354163754440549</v>
      </c>
      <c r="CL48" s="168">
        <v>20.449153211941933</v>
      </c>
      <c r="CM48" s="168">
        <v>20.296346018008023</v>
      </c>
      <c r="CN48" s="177"/>
      <c r="CO48" s="53">
        <v>16.460927960213922</v>
      </c>
      <c r="CP48" s="53">
        <v>16.486047601564707</v>
      </c>
      <c r="CQ48" s="168">
        <v>12.468354135109578</v>
      </c>
      <c r="CR48" s="195">
        <v>13.789300467672831</v>
      </c>
      <c r="CS48" s="195">
        <v>12.252291113328127</v>
      </c>
      <c r="CT48" s="53">
        <f>+'[6]Monetary Survey'!DK58</f>
        <v>12.372272933152971</v>
      </c>
      <c r="CU48" s="53">
        <f>+'[6]Monetary Survey'!DL58</f>
        <v>7.8246943095226413</v>
      </c>
      <c r="CV48" s="53">
        <f>+'[6]Monetary Survey'!DM58</f>
        <v>9.7061255665693125</v>
      </c>
      <c r="CW48" s="53">
        <f>+'[6]Monetary Survey'!DN58</f>
        <v>4.2972634297557164</v>
      </c>
      <c r="CX48" s="53">
        <f>+'[6]Monetary Survey'!DO58</f>
        <v>4.565305971083518</v>
      </c>
      <c r="CY48" s="53">
        <f>+'[6]Monetary Survey'!DP58</f>
        <v>12.376457557216568</v>
      </c>
      <c r="CZ48" s="53">
        <f>+'[6]Monetary Survey'!DQ58</f>
        <v>17.48655379930419</v>
      </c>
      <c r="DA48" s="177"/>
      <c r="DB48" s="195">
        <v>17.403922182291652</v>
      </c>
      <c r="DC48" s="53">
        <v>13.8057496658502</v>
      </c>
      <c r="DD48" s="53">
        <v>12.585907536952277</v>
      </c>
      <c r="DE48" s="57">
        <v>15.371546828431832</v>
      </c>
      <c r="DF48" s="57">
        <v>16.160404758628616</v>
      </c>
      <c r="DG48" s="57">
        <v>17.054195605016602</v>
      </c>
      <c r="DH48" s="57">
        <v>21.402956202187241</v>
      </c>
      <c r="DI48" s="57">
        <v>20.112448062540651</v>
      </c>
      <c r="DJ48" s="57">
        <v>22.054615262281899</v>
      </c>
      <c r="DK48" s="57">
        <v>22.306550154916607</v>
      </c>
      <c r="DL48" s="57">
        <v>17.952520775830422</v>
      </c>
      <c r="DM48" s="57">
        <v>13.61528524606797</v>
      </c>
      <c r="DN48" s="57"/>
      <c r="DO48" s="57">
        <v>17.308267310753507</v>
      </c>
      <c r="DP48" s="57">
        <v>19.31862521639512</v>
      </c>
      <c r="DQ48" s="208">
        <v>18.448721702880036</v>
      </c>
      <c r="DR48" s="53">
        <v>13.169947115858619</v>
      </c>
      <c r="DS48" s="53">
        <v>9.8506041211996944</v>
      </c>
      <c r="DT48" s="53">
        <v>11.690004403458104</v>
      </c>
      <c r="DU48" s="53">
        <v>8.9345097757414607</v>
      </c>
      <c r="DV48" s="53">
        <v>11.66759926322996</v>
      </c>
      <c r="DW48" s="53">
        <v>13.865684549591677</v>
      </c>
      <c r="DX48" s="53">
        <v>13.517607573263518</v>
      </c>
      <c r="DY48" s="53">
        <v>12.78979578162614</v>
      </c>
      <c r="DZ48" s="53">
        <v>17.494415403355703</v>
      </c>
      <c r="EB48" s="53">
        <v>14.293352628355066</v>
      </c>
      <c r="EC48" s="53">
        <v>14.375377692378933</v>
      </c>
      <c r="ED48" s="53">
        <v>14.276751554360459</v>
      </c>
      <c r="EE48" s="53">
        <v>17.569694204783204</v>
      </c>
      <c r="EF48" s="53">
        <v>16.357068194657771</v>
      </c>
      <c r="EG48" s="53">
        <v>13.680720858933412</v>
      </c>
      <c r="EH48" s="53">
        <v>13.026381960558254</v>
      </c>
    </row>
    <row r="49" spans="1:144" ht="3.75" customHeight="1">
      <c r="A49" s="165"/>
      <c r="B49" s="174"/>
      <c r="C49" s="174"/>
      <c r="D49" s="174"/>
      <c r="E49" s="174"/>
      <c r="F49" s="174"/>
      <c r="G49" s="174"/>
      <c r="H49" s="174"/>
      <c r="I49" s="174"/>
      <c r="J49" s="174"/>
      <c r="K49" s="174"/>
      <c r="L49" s="174"/>
      <c r="M49" s="174"/>
      <c r="N49" s="174"/>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c r="BT49" s="168"/>
      <c r="BU49" s="168"/>
      <c r="BV49" s="168"/>
      <c r="BW49" s="168"/>
      <c r="BX49" s="168"/>
      <c r="BY49" s="168"/>
      <c r="BZ49" s="168"/>
      <c r="CA49" s="168"/>
      <c r="CB49" s="168"/>
      <c r="CC49" s="168"/>
      <c r="CD49" s="168"/>
      <c r="CE49" s="168"/>
      <c r="CF49" s="168"/>
      <c r="CG49" s="168"/>
      <c r="CH49" s="168"/>
      <c r="CI49" s="168"/>
      <c r="CJ49" s="168"/>
      <c r="CK49" s="168"/>
      <c r="CL49" s="168"/>
      <c r="CM49" s="168"/>
      <c r="CN49" s="168"/>
      <c r="CO49" s="168"/>
    </row>
    <row r="50" spans="1:144">
      <c r="A50" s="170" t="s">
        <v>39</v>
      </c>
      <c r="B50" s="174">
        <v>26.554867732063101</v>
      </c>
      <c r="C50" s="174">
        <v>29.475457525463725</v>
      </c>
      <c r="D50" s="174">
        <v>31.797528844949312</v>
      </c>
      <c r="E50" s="174">
        <v>32.81734312124658</v>
      </c>
      <c r="F50" s="174">
        <v>33.972772175985966</v>
      </c>
      <c r="G50" s="174">
        <v>37.187162949127639</v>
      </c>
      <c r="H50" s="174">
        <v>46.097703288840734</v>
      </c>
      <c r="I50" s="174">
        <v>56.463423145527116</v>
      </c>
      <c r="J50" s="174">
        <v>62.362248773094365</v>
      </c>
      <c r="K50" s="174">
        <v>66.785024169018698</v>
      </c>
      <c r="L50" s="174">
        <v>67.868442212172539</v>
      </c>
      <c r="M50" s="174">
        <v>74.840472787347124</v>
      </c>
      <c r="N50" s="174"/>
      <c r="O50" s="168">
        <v>73.454641722131782</v>
      </c>
      <c r="P50" s="168">
        <v>79.181828691877854</v>
      </c>
      <c r="Q50" s="168">
        <v>76.362161977718813</v>
      </c>
      <c r="R50" s="168">
        <v>73.692747831101656</v>
      </c>
      <c r="S50" s="168">
        <v>76.992051305122914</v>
      </c>
      <c r="T50" s="168">
        <v>78.144659069871068</v>
      </c>
      <c r="U50" s="168">
        <v>74.072407616300552</v>
      </c>
      <c r="V50" s="168">
        <v>70.341510311958757</v>
      </c>
      <c r="W50" s="168">
        <v>65.908022118799352</v>
      </c>
      <c r="X50" s="168">
        <v>62.576208856147503</v>
      </c>
      <c r="Y50" s="168">
        <v>57.126617282727182</v>
      </c>
      <c r="Z50" s="168">
        <v>48.890098791505324</v>
      </c>
      <c r="AA50" s="168"/>
      <c r="AB50" s="168">
        <v>44.639453800083743</v>
      </c>
      <c r="AC50" s="168">
        <v>33.80548896588661</v>
      </c>
      <c r="AD50" s="168">
        <v>36.157485476429883</v>
      </c>
      <c r="AE50" s="168">
        <v>28.686710262934156</v>
      </c>
      <c r="AF50" s="168">
        <v>21.276757743673883</v>
      </c>
      <c r="AG50" s="168">
        <v>14.851312050898485</v>
      </c>
      <c r="AH50" s="168">
        <v>14.51328481752779</v>
      </c>
      <c r="AI50" s="168">
        <v>11.072420533212778</v>
      </c>
      <c r="AJ50" s="168">
        <v>11.753897367979519</v>
      </c>
      <c r="AK50" s="168">
        <v>10.998850050236001</v>
      </c>
      <c r="AL50" s="168">
        <v>11.574160649433466</v>
      </c>
      <c r="AM50" s="168">
        <v>15.871637797026779</v>
      </c>
      <c r="AN50" s="168"/>
      <c r="AO50" s="168">
        <v>17.256414634060107</v>
      </c>
      <c r="AP50" s="168">
        <v>21.414385373842876</v>
      </c>
      <c r="AQ50" s="168">
        <v>19.058642546081472</v>
      </c>
      <c r="AR50" s="168">
        <v>18.957847751716599</v>
      </c>
      <c r="AS50" s="168">
        <v>20.887453230767107</v>
      </c>
      <c r="AT50" s="168">
        <v>24.984166754289362</v>
      </c>
      <c r="AU50" s="168">
        <v>22.609049044250938</v>
      </c>
      <c r="AV50" s="168">
        <v>23.400223455776636</v>
      </c>
      <c r="AW50" s="168">
        <v>23.390938081320868</v>
      </c>
      <c r="AX50" s="168">
        <v>23.306674104747405</v>
      </c>
      <c r="AY50" s="168">
        <v>25.649292745051788</v>
      </c>
      <c r="AZ50" s="168">
        <v>26.483511007121805</v>
      </c>
      <c r="BA50" s="168"/>
      <c r="BB50" s="168">
        <v>29.268924637762872</v>
      </c>
      <c r="BC50" s="168">
        <v>29.995384838252328</v>
      </c>
      <c r="BD50" s="168">
        <v>29.420575699274565</v>
      </c>
      <c r="BE50" s="168">
        <v>35.088600031356656</v>
      </c>
      <c r="BF50" s="168">
        <v>39.154741048480091</v>
      </c>
      <c r="BG50" s="168">
        <v>38.5029002506732</v>
      </c>
      <c r="BH50" s="168">
        <v>36.582257933631055</v>
      </c>
      <c r="BI50" s="168">
        <v>37.559519382733228</v>
      </c>
      <c r="BJ50" s="168">
        <v>36.84572177597687</v>
      </c>
      <c r="BK50" s="168">
        <v>37.663564019962557</v>
      </c>
      <c r="BL50" s="168">
        <v>37.288361927675155</v>
      </c>
      <c r="BM50" s="168">
        <v>35.464023323107739</v>
      </c>
      <c r="BN50" s="168"/>
      <c r="BO50" s="193">
        <v>36.651691843043778</v>
      </c>
      <c r="BP50" s="168">
        <v>36.563419958067669</v>
      </c>
      <c r="BQ50" s="168">
        <v>34.286676752820377</v>
      </c>
      <c r="BR50" s="168">
        <v>34.313263465954336</v>
      </c>
      <c r="BS50" s="168">
        <v>33.635760332535213</v>
      </c>
      <c r="BT50" s="168">
        <v>36.094373193980012</v>
      </c>
      <c r="BU50" s="168">
        <v>35.081555638935555</v>
      </c>
      <c r="BV50" s="168">
        <v>33.413664862025797</v>
      </c>
      <c r="BW50" s="168">
        <v>31.323079366654461</v>
      </c>
      <c r="BX50" s="168">
        <v>28.264760415801437</v>
      </c>
      <c r="BY50" s="168">
        <v>28.288669699569404</v>
      </c>
      <c r="BZ50" s="168">
        <v>27.166964971765939</v>
      </c>
      <c r="CA50" s="168"/>
      <c r="CB50" s="168">
        <v>26.495253195461267</v>
      </c>
      <c r="CC50" s="168">
        <v>25.254019981816533</v>
      </c>
      <c r="CD50" s="168">
        <v>20.806002457665972</v>
      </c>
      <c r="CE50" s="168">
        <v>17.988933052323564</v>
      </c>
      <c r="CF50" s="168">
        <v>15.447757918069073</v>
      </c>
      <c r="CG50" s="168">
        <v>11.684864193686595</v>
      </c>
      <c r="CH50" s="168">
        <v>13.756890416449075</v>
      </c>
      <c r="CI50" s="168">
        <v>11.818939725028276</v>
      </c>
      <c r="CJ50" s="168">
        <v>11.88639138222749</v>
      </c>
      <c r="CK50" s="168">
        <v>11.533543643153799</v>
      </c>
      <c r="CL50" s="168">
        <v>10.238940352694993</v>
      </c>
      <c r="CM50" s="168">
        <v>11.786197640711936</v>
      </c>
      <c r="CN50" s="168"/>
      <c r="CO50" s="53">
        <v>9.7400177595868165</v>
      </c>
      <c r="CP50" s="53">
        <v>9.4000207758143226</v>
      </c>
      <c r="CQ50" s="53">
        <v>11.714250082225529</v>
      </c>
      <c r="CR50" s="53">
        <v>13.220009230318141</v>
      </c>
      <c r="CS50" s="53">
        <f>+[7]loan!CA36</f>
        <v>12.123843648088229</v>
      </c>
      <c r="CT50" s="53">
        <f>+[7]loan!CB36</f>
        <v>12.830796270125155</v>
      </c>
      <c r="CU50" s="53">
        <f>+[7]loan!CC36</f>
        <v>11.258110548506849</v>
      </c>
      <c r="CV50" s="53">
        <f>+[7]loan!CD36</f>
        <v>13.039357260526007</v>
      </c>
      <c r="CW50" s="53">
        <f>+[7]loan!CE36</f>
        <v>13.025328874174846</v>
      </c>
      <c r="CX50" s="53">
        <f>+[7]loan!CF36</f>
        <v>14.131773946647863</v>
      </c>
      <c r="CY50" s="53">
        <f>+[7]loan!CG36</f>
        <v>17.296994341480577</v>
      </c>
      <c r="CZ50" s="53">
        <f>+[7]loan!CH36</f>
        <v>19.93882208119755</v>
      </c>
      <c r="DB50" s="53">
        <f>+[7]loan!CI36</f>
        <v>18.7026922867094</v>
      </c>
      <c r="DC50" s="53">
        <v>16.174925305070676</v>
      </c>
      <c r="DD50" s="53">
        <v>13.398523794785211</v>
      </c>
      <c r="DE50" s="53">
        <v>12.383473834208436</v>
      </c>
      <c r="DF50" s="53">
        <v>10.521265076644992</v>
      </c>
      <c r="DG50" s="53">
        <v>9.1741521537070945</v>
      </c>
      <c r="DH50" s="53">
        <v>9.5447348856122272</v>
      </c>
      <c r="DI50" s="53">
        <v>8.5230526195003709</v>
      </c>
      <c r="DJ50" s="53">
        <v>5.4730267673808841</v>
      </c>
      <c r="DK50" s="53">
        <v>4.0872659486860696</v>
      </c>
      <c r="DL50" s="53">
        <v>0.99224300420059919</v>
      </c>
      <c r="DM50" s="53">
        <v>-4.1185982636221752</v>
      </c>
      <c r="DO50" s="53">
        <v>-2.7267192456691625</v>
      </c>
      <c r="DP50" s="53">
        <v>8.7630858428133784E-2</v>
      </c>
      <c r="DQ50" s="53">
        <v>1.1350665291254725</v>
      </c>
      <c r="DR50" s="53">
        <v>0.64581748761678437</v>
      </c>
      <c r="DS50" s="53">
        <v>1.6366903138890221</v>
      </c>
      <c r="DT50" s="53">
        <v>3.0586210236020817</v>
      </c>
      <c r="DU50" s="53">
        <v>2.7904627850120933</v>
      </c>
      <c r="DV50" s="53">
        <v>2.4311639874756041</v>
      </c>
      <c r="DW50" s="53">
        <v>3.9599431113671812</v>
      </c>
      <c r="DX50" s="53">
        <v>3.9904389265897233</v>
      </c>
      <c r="DY50" s="53">
        <v>4.6842963228362011</v>
      </c>
      <c r="DZ50" s="53">
        <v>5.5650076211023691</v>
      </c>
      <c r="EB50" s="53">
        <v>5.991267033896297</v>
      </c>
      <c r="EC50" s="53">
        <v>4.2443819662559168</v>
      </c>
      <c r="ED50" s="53">
        <v>5.3669042169559145</v>
      </c>
      <c r="EE50" s="53">
        <v>6.4428889753994412</v>
      </c>
      <c r="EF50" s="53">
        <v>7.0902873342911121</v>
      </c>
      <c r="EG50" s="53">
        <v>8.0863673176989401</v>
      </c>
      <c r="EH50" s="53">
        <v>9.1475550368309335</v>
      </c>
    </row>
    <row r="51" spans="1:144">
      <c r="A51" s="190" t="s">
        <v>37</v>
      </c>
      <c r="B51" s="174">
        <v>61.210206496024199</v>
      </c>
      <c r="C51" s="174">
        <v>76.935373952434674</v>
      </c>
      <c r="D51" s="174">
        <v>90.830861534213682</v>
      </c>
      <c r="E51" s="174">
        <v>92.789934443314877</v>
      </c>
      <c r="F51" s="174">
        <v>95.069705332030196</v>
      </c>
      <c r="G51" s="174">
        <v>99.415264859389481</v>
      </c>
      <c r="H51" s="174">
        <v>109.16145346462346</v>
      </c>
      <c r="I51" s="174">
        <v>114.78492760213905</v>
      </c>
      <c r="J51" s="174">
        <v>114.30466726783081</v>
      </c>
      <c r="K51" s="174">
        <v>117.89091927268785</v>
      </c>
      <c r="L51" s="174">
        <v>111.98562837611067</v>
      </c>
      <c r="M51" s="174">
        <v>117.828079413463</v>
      </c>
      <c r="N51" s="174"/>
      <c r="O51" s="168">
        <v>112.28719480656341</v>
      </c>
      <c r="P51" s="168">
        <v>105.05749353630529</v>
      </c>
      <c r="Q51" s="168">
        <v>97.316436686092487</v>
      </c>
      <c r="R51" s="168">
        <v>91.385493133055064</v>
      </c>
      <c r="S51" s="168">
        <v>88.726082163338532</v>
      </c>
      <c r="T51" s="168">
        <v>89.940934473032343</v>
      </c>
      <c r="U51" s="168">
        <v>85.72706683954101</v>
      </c>
      <c r="V51" s="168">
        <v>79.619669967327724</v>
      </c>
      <c r="W51" s="168">
        <v>75.8605398813813</v>
      </c>
      <c r="X51" s="168">
        <v>70.462580282135946</v>
      </c>
      <c r="Y51" s="168">
        <v>62.444794980155336</v>
      </c>
      <c r="Z51" s="168">
        <v>51.107221090953971</v>
      </c>
      <c r="AA51" s="168"/>
      <c r="AB51" s="168">
        <v>46.948305362970984</v>
      </c>
      <c r="AC51" s="168">
        <v>30.588724295313654</v>
      </c>
      <c r="AD51" s="168">
        <v>17.289914588500082</v>
      </c>
      <c r="AE51" s="168">
        <v>7.766865811379887</v>
      </c>
      <c r="AF51" s="168">
        <v>-0.88661753438985613</v>
      </c>
      <c r="AG51" s="168">
        <v>-9.0066428370709275</v>
      </c>
      <c r="AH51" s="168">
        <v>-12.769989119398517</v>
      </c>
      <c r="AI51" s="168">
        <v>-15.699620321042943</v>
      </c>
      <c r="AJ51" s="168">
        <v>-14.297299881278832</v>
      </c>
      <c r="AK51" s="168">
        <v>-13.775146626679458</v>
      </c>
      <c r="AL51" s="168">
        <v>-12.109648320585194</v>
      </c>
      <c r="AM51" s="168">
        <v>-7.7282057975425005</v>
      </c>
      <c r="AN51" s="168"/>
      <c r="AO51" s="168">
        <v>-6.0981440427974434</v>
      </c>
      <c r="AP51" s="168">
        <v>1.4370828320181772E-2</v>
      </c>
      <c r="AQ51" s="168">
        <v>7.4444292454201673</v>
      </c>
      <c r="AR51" s="168">
        <v>11.269766703261425</v>
      </c>
      <c r="AS51" s="168">
        <v>13.310558678970995</v>
      </c>
      <c r="AT51" s="168">
        <v>16.273041268194376</v>
      </c>
      <c r="AU51" s="168">
        <v>15.328649587684762</v>
      </c>
      <c r="AV51" s="168">
        <v>17.08843860620599</v>
      </c>
      <c r="AW51" s="168">
        <v>15.659547231431258</v>
      </c>
      <c r="AX51" s="168">
        <v>13.873917428556304</v>
      </c>
      <c r="AY51" s="168">
        <v>12.759775816074615</v>
      </c>
      <c r="AZ51" s="168">
        <v>12.177401993306392</v>
      </c>
      <c r="BA51" s="168"/>
      <c r="BB51" s="168">
        <v>13.700117086692742</v>
      </c>
      <c r="BC51" s="168">
        <v>14.322619364685284</v>
      </c>
      <c r="BD51" s="168">
        <v>13.241066937038282</v>
      </c>
      <c r="BE51" s="168">
        <v>16.475756061557888</v>
      </c>
      <c r="BF51" s="168">
        <v>20.355803531270865</v>
      </c>
      <c r="BG51" s="168">
        <v>23.624265735107073</v>
      </c>
      <c r="BH51" s="168">
        <v>25.637229129323625</v>
      </c>
      <c r="BI51" s="168">
        <v>24.37928312355815</v>
      </c>
      <c r="BJ51" s="168">
        <v>25.439229533118922</v>
      </c>
      <c r="BK51" s="168">
        <v>26.241240705814526</v>
      </c>
      <c r="BL51" s="168">
        <v>25.507861517261034</v>
      </c>
      <c r="BM51" s="168">
        <v>23.035825316614257</v>
      </c>
      <c r="BN51" s="168"/>
      <c r="BO51" s="193">
        <v>22.822106433905699</v>
      </c>
      <c r="BP51" s="168">
        <v>21.611155972274943</v>
      </c>
      <c r="BQ51" s="168">
        <v>22.189007949853902</v>
      </c>
      <c r="BR51" s="168">
        <v>21.934452540813343</v>
      </c>
      <c r="BS51" s="168">
        <v>19.484496492484162</v>
      </c>
      <c r="BT51" s="168">
        <v>18.225484205879884</v>
      </c>
      <c r="BU51" s="168">
        <v>17.681505484182281</v>
      </c>
      <c r="BV51" s="168">
        <v>18.805733463570373</v>
      </c>
      <c r="BW51" s="168">
        <v>16.96437934205688</v>
      </c>
      <c r="BX51" s="168">
        <v>16.244172267180002</v>
      </c>
      <c r="BY51" s="168">
        <v>16.149477008099765</v>
      </c>
      <c r="BZ51" s="168">
        <v>15.902399211581276</v>
      </c>
      <c r="CA51" s="168"/>
      <c r="CB51" s="168">
        <v>16.355102617259231</v>
      </c>
      <c r="CC51" s="168">
        <v>15.856252600981868</v>
      </c>
      <c r="CD51" s="168">
        <v>15.830460132253709</v>
      </c>
      <c r="CE51" s="168">
        <v>16.998790345592596</v>
      </c>
      <c r="CF51" s="168">
        <v>15.706135133520194</v>
      </c>
      <c r="CG51" s="168">
        <v>15.205169492775926</v>
      </c>
      <c r="CH51" s="168">
        <v>15.971131536307315</v>
      </c>
      <c r="CI51" s="168">
        <v>14.656542477171008</v>
      </c>
      <c r="CJ51" s="168">
        <v>14.955275860618421</v>
      </c>
      <c r="CK51" s="168">
        <v>14.622468128783762</v>
      </c>
      <c r="CL51" s="168">
        <v>14.339317314203281</v>
      </c>
      <c r="CM51" s="168">
        <v>19.019555799065714</v>
      </c>
      <c r="CN51" s="168"/>
      <c r="CO51" s="53">
        <v>16.783457633473041</v>
      </c>
      <c r="CP51" s="53">
        <v>16.796269811877941</v>
      </c>
      <c r="CQ51" s="53">
        <v>15.711159482790936</v>
      </c>
      <c r="CR51" s="53">
        <v>15.213055087235784</v>
      </c>
      <c r="CS51" s="53">
        <f>+[7]loan!CA37</f>
        <v>14.137509487621713</v>
      </c>
      <c r="CT51" s="53">
        <f>+[7]loan!CB37</f>
        <v>14.423395971584396</v>
      </c>
      <c r="CU51" s="53">
        <f>+[7]loan!CC37</f>
        <v>14.38015465406497</v>
      </c>
      <c r="CV51" s="53">
        <f>+[7]loan!CD37</f>
        <v>13.826343064964242</v>
      </c>
      <c r="CW51" s="53">
        <f>+[7]loan!CE37</f>
        <v>14.616967679051761</v>
      </c>
      <c r="CX51" s="53">
        <f>+[7]loan!CF37</f>
        <v>14.27937052085062</v>
      </c>
      <c r="CY51" s="53">
        <f>+[7]loan!CG37</f>
        <v>13.303599805199529</v>
      </c>
      <c r="CZ51" s="53">
        <f>+[7]loan!CH37</f>
        <v>7.1442109680740717</v>
      </c>
      <c r="DB51" s="53">
        <f>+[7]loan!CI37</f>
        <v>7.7624967568087122</v>
      </c>
      <c r="DC51" s="53">
        <v>6.0084896209865013</v>
      </c>
      <c r="DD51" s="195">
        <v>2.3166010157843253</v>
      </c>
      <c r="DE51" s="53">
        <v>-0.32606440941951309</v>
      </c>
      <c r="DF51" s="53">
        <v>-0.88170792971953293</v>
      </c>
      <c r="DG51" s="53">
        <v>-1.7688369039853269</v>
      </c>
      <c r="DH51" s="53">
        <v>-3.5724062784419197</v>
      </c>
      <c r="DI51" s="53">
        <v>-2.9600193936805796</v>
      </c>
      <c r="DJ51" s="53">
        <v>-5.790906378936544</v>
      </c>
      <c r="DK51" s="53">
        <v>-5.1539471757647171</v>
      </c>
      <c r="DL51" s="53">
        <v>-6.3395735112025449</v>
      </c>
      <c r="DM51" s="53">
        <v>-4.7479784867236248</v>
      </c>
      <c r="DO51" s="53">
        <v>-5.2650079471448503</v>
      </c>
      <c r="DP51" s="53">
        <v>-2.7966038378036684</v>
      </c>
      <c r="DQ51" s="53">
        <v>0.30233309957290455</v>
      </c>
      <c r="DR51" s="49">
        <v>1.4664468864082902</v>
      </c>
      <c r="DS51" s="49">
        <v>2.0384362193648142</v>
      </c>
      <c r="DT51" s="49">
        <v>2.9173325406175232</v>
      </c>
      <c r="DU51" s="49">
        <v>3.4113064947629557</v>
      </c>
      <c r="DV51" s="49">
        <v>2.7843066677205597</v>
      </c>
      <c r="DW51" s="49">
        <v>4.9494006013944825</v>
      </c>
      <c r="DX51" s="49">
        <v>4.7595762994625979</v>
      </c>
      <c r="DY51" s="49">
        <v>7.5833916699514559</v>
      </c>
      <c r="DZ51" s="49">
        <v>9.6052551346789361</v>
      </c>
      <c r="EB51" s="53">
        <v>9.7726092178348054</v>
      </c>
      <c r="EC51" s="53">
        <v>8.7756752000373481</v>
      </c>
      <c r="ED51" s="53">
        <v>12.826087521718543</v>
      </c>
      <c r="EE51" s="53">
        <v>11.516252107920533</v>
      </c>
      <c r="EF51" s="53">
        <v>13.852157615202021</v>
      </c>
      <c r="EG51" s="53">
        <v>17.684158661698966</v>
      </c>
      <c r="EH51" s="53">
        <v>21.527489872949968</v>
      </c>
    </row>
    <row r="52" spans="1:144">
      <c r="A52" s="190" t="s">
        <v>38</v>
      </c>
      <c r="B52" s="174">
        <v>4.5498808066832339</v>
      </c>
      <c r="C52" s="174">
        <v>-0.42472026847552513</v>
      </c>
      <c r="D52" s="174">
        <v>-3.9454996058325662</v>
      </c>
      <c r="E52" s="174">
        <v>-4.3695135510070173</v>
      </c>
      <c r="F52" s="174">
        <v>-6.1586717470628827</v>
      </c>
      <c r="G52" s="174">
        <v>-5.3199765582350977</v>
      </c>
      <c r="H52" s="174">
        <v>1.7607964150876825</v>
      </c>
      <c r="I52" s="174">
        <v>12.308471677528644</v>
      </c>
      <c r="J52" s="174">
        <v>21.001636269081388</v>
      </c>
      <c r="K52" s="174">
        <v>25.248305715852524</v>
      </c>
      <c r="L52" s="174">
        <v>28.263853245133021</v>
      </c>
      <c r="M52" s="174">
        <v>33.804891579457063</v>
      </c>
      <c r="N52" s="174"/>
      <c r="O52" s="168">
        <v>35.434309872101835</v>
      </c>
      <c r="P52" s="168">
        <v>50.214966575822928</v>
      </c>
      <c r="Q52" s="168">
        <v>51.156531110858282</v>
      </c>
      <c r="R52" s="168">
        <v>51.576071013417078</v>
      </c>
      <c r="S52" s="168">
        <v>60.970362842543523</v>
      </c>
      <c r="T52" s="168">
        <v>61.17315735805883</v>
      </c>
      <c r="U52" s="168">
        <v>57.230691918115269</v>
      </c>
      <c r="V52" s="168">
        <v>56.90755747807853</v>
      </c>
      <c r="W52" s="168">
        <v>51.872190736759819</v>
      </c>
      <c r="X52" s="168">
        <v>51.425417692250306</v>
      </c>
      <c r="Y52" s="168">
        <v>49.236150679621204</v>
      </c>
      <c r="Z52" s="168">
        <v>45.444625840555233</v>
      </c>
      <c r="AA52" s="168"/>
      <c r="AB52" s="168">
        <v>41.096128129742027</v>
      </c>
      <c r="AC52" s="168">
        <v>38.721260203715076</v>
      </c>
      <c r="AD52" s="168">
        <v>65.783775924812602</v>
      </c>
      <c r="AE52" s="168">
        <v>61.70552406113751</v>
      </c>
      <c r="AF52" s="168">
        <v>56.756704400892858</v>
      </c>
      <c r="AG52" s="168">
        <v>55.302794173864754</v>
      </c>
      <c r="AH52" s="168">
        <v>61.084879634846203</v>
      </c>
      <c r="AI52" s="168">
        <v>55.446922204257362</v>
      </c>
      <c r="AJ52" s="168">
        <v>54.296397857072407</v>
      </c>
      <c r="AK52" s="168">
        <v>50.431395063417597</v>
      </c>
      <c r="AL52" s="168">
        <v>49.823430819206607</v>
      </c>
      <c r="AM52" s="168">
        <v>53.97434729073214</v>
      </c>
      <c r="AN52" s="168"/>
      <c r="AO52" s="168">
        <v>54.584542449194345</v>
      </c>
      <c r="AP52" s="168">
        <v>52.200089863436773</v>
      </c>
      <c r="AQ52" s="168">
        <v>31.961019519965021</v>
      </c>
      <c r="AR52" s="168">
        <v>27.044734579931216</v>
      </c>
      <c r="AS52" s="168">
        <v>28.664030462358838</v>
      </c>
      <c r="AT52" s="168">
        <v>33.666655797963749</v>
      </c>
      <c r="AU52" s="168">
        <v>29.351581449556186</v>
      </c>
      <c r="AV52" s="168">
        <v>29.076694562891682</v>
      </c>
      <c r="AW52" s="168">
        <v>30.317345344353907</v>
      </c>
      <c r="AX52" s="168">
        <v>31.819967118239223</v>
      </c>
      <c r="AY52" s="168">
        <v>37.77411269562856</v>
      </c>
      <c r="AZ52" s="168">
        <v>40.20067675877528</v>
      </c>
      <c r="BA52" s="168"/>
      <c r="BB52" s="168">
        <v>44.314341235530485</v>
      </c>
      <c r="BC52" s="168">
        <v>44.780724913051294</v>
      </c>
      <c r="BD52" s="168">
        <v>44.02344090959447</v>
      </c>
      <c r="BE52" s="168">
        <v>52.184262775574553</v>
      </c>
      <c r="BF52" s="168">
        <v>56.146712892584617</v>
      </c>
      <c r="BG52" s="168">
        <v>51.40287913209005</v>
      </c>
      <c r="BH52" s="168">
        <v>45.619797397074379</v>
      </c>
      <c r="BI52" s="168">
        <v>48.312172102452777</v>
      </c>
      <c r="BJ52" s="168">
        <v>45.915188833798858</v>
      </c>
      <c r="BK52" s="168">
        <v>46.569026143729332</v>
      </c>
      <c r="BL52" s="168">
        <v>46.357979534444226</v>
      </c>
      <c r="BM52" s="168">
        <v>44.998706964558075</v>
      </c>
      <c r="BN52" s="168"/>
      <c r="BO52" s="193">
        <v>47.181233055551218</v>
      </c>
      <c r="BP52" s="168">
        <v>47.701595516601316</v>
      </c>
      <c r="BQ52" s="168">
        <v>42.87177373674411</v>
      </c>
      <c r="BR52" s="168">
        <v>43.015240402513768</v>
      </c>
      <c r="BS52" s="168">
        <v>43.494919865361958</v>
      </c>
      <c r="BT52" s="168">
        <v>48.744447178824203</v>
      </c>
      <c r="BU52" s="168">
        <v>47.47756013717246</v>
      </c>
      <c r="BV52" s="168">
        <v>43.40796526360009</v>
      </c>
      <c r="BW52" s="168">
        <v>41.137793553432481</v>
      </c>
      <c r="BX52" s="168">
        <v>36.336865024251239</v>
      </c>
      <c r="BY52" s="168">
        <v>36.303043002393508</v>
      </c>
      <c r="BZ52" s="168">
        <v>34.499937130492889</v>
      </c>
      <c r="CA52" s="168"/>
      <c r="CB52" s="168">
        <v>32.937966358620095</v>
      </c>
      <c r="CC52" s="168">
        <v>31.017967578611085</v>
      </c>
      <c r="CD52" s="168">
        <v>23.825743087097706</v>
      </c>
      <c r="CE52" s="168">
        <v>18.582378637702867</v>
      </c>
      <c r="CF52" s="168">
        <v>15.297867486113015</v>
      </c>
      <c r="CG52" s="168">
        <v>9.7040388516160814</v>
      </c>
      <c r="CH52" s="168">
        <v>12.498143533073014</v>
      </c>
      <c r="CI52" s="168">
        <v>10.210594029885911</v>
      </c>
      <c r="CJ52" s="168">
        <v>10.147976736573995</v>
      </c>
      <c r="CK52" s="168">
        <v>9.7649574059605282</v>
      </c>
      <c r="CL52" s="168">
        <v>7.9321121409705597</v>
      </c>
      <c r="CM52" s="168">
        <v>7.7285353793722145</v>
      </c>
      <c r="CN52" s="168"/>
      <c r="CO52" s="53">
        <v>5.8230895961859597</v>
      </c>
      <c r="CP52" s="53">
        <v>5.3886253270879703</v>
      </c>
      <c r="CQ52" s="53">
        <v>9.4450888248607043</v>
      </c>
      <c r="CR52" s="53">
        <v>12.041422313251648</v>
      </c>
      <c r="CS52" s="53">
        <f>+[7]loan!CA38</f>
        <v>10.951534341245139</v>
      </c>
      <c r="CT52" s="53">
        <f>+[7]loan!CB38</f>
        <v>11.889726474509722</v>
      </c>
      <c r="CU52" s="53">
        <f>+[7]loan!CC38</f>
        <v>9.4285066808609486</v>
      </c>
      <c r="CV52" s="53">
        <f>+[7]loan!CD38</f>
        <v>12.575301464844779</v>
      </c>
      <c r="CW52" s="53">
        <f>+[7]loan!CE38</f>
        <v>12.084371967892427</v>
      </c>
      <c r="CX52" s="53">
        <f>+[7]loan!CF38</f>
        <v>14.043526678539674</v>
      </c>
      <c r="CY52" s="53">
        <f>+[7]loan!CG38</f>
        <v>19.677003387022118</v>
      </c>
      <c r="CZ52" s="53">
        <f>+[7]loan!CH38</f>
        <v>27.86840940325359</v>
      </c>
      <c r="DB52" s="53">
        <f>+[7]loan!CI38</f>
        <v>25.416776302828971</v>
      </c>
      <c r="DC52" s="53">
        <v>22.285582240934065</v>
      </c>
      <c r="DD52" s="195">
        <v>20.050261919148383</v>
      </c>
      <c r="DE52" s="53">
        <v>20.112008805891101</v>
      </c>
      <c r="DF52" s="53">
        <v>17.35043605242852</v>
      </c>
      <c r="DG52" s="53">
        <v>15.786806019004352</v>
      </c>
      <c r="DH52" s="53">
        <v>17.57957861778694</v>
      </c>
      <c r="DI52" s="53">
        <v>15.36943348690456</v>
      </c>
      <c r="DJ52" s="53">
        <v>12.282588027913487</v>
      </c>
      <c r="DK52" s="53">
        <v>9.6239683292115519</v>
      </c>
      <c r="DL52" s="53">
        <v>5.1291997299268033</v>
      </c>
      <c r="DM52" s="53">
        <v>-3.7917531204199717</v>
      </c>
      <c r="DO52" s="53">
        <v>-1.3882305257443606</v>
      </c>
      <c r="DP52" s="53">
        <v>1.5904792568262494</v>
      </c>
      <c r="DQ52" s="53">
        <v>1.5610659564168516</v>
      </c>
      <c r="DR52" s="49">
        <v>0.23171327193267643</v>
      </c>
      <c r="DS52" s="49">
        <v>1.4334684402189435</v>
      </c>
      <c r="DT52" s="49">
        <v>3.1310540781160912</v>
      </c>
      <c r="DU52" s="49">
        <v>2.4785810384727158</v>
      </c>
      <c r="DV52" s="49">
        <v>2.2540662075634321</v>
      </c>
      <c r="DW52" s="49">
        <v>3.4580553346599707</v>
      </c>
      <c r="DX52" s="49">
        <v>3.5917447889752374</v>
      </c>
      <c r="DY52" s="49">
        <v>3.2269436505465654</v>
      </c>
      <c r="DZ52" s="49">
        <v>3.4877095589579632</v>
      </c>
      <c r="EB52" s="53">
        <v>4.0756823773378414</v>
      </c>
      <c r="EC52" s="53">
        <v>1.9852834348158321</v>
      </c>
      <c r="ED52" s="53">
        <v>1.5983212558362103</v>
      </c>
      <c r="EE52" s="53">
        <v>3.8512420920295165</v>
      </c>
      <c r="EF52" s="53">
        <v>3.6494166976277276</v>
      </c>
      <c r="EG52" s="53">
        <v>3.1761534705659011</v>
      </c>
      <c r="EH52" s="53">
        <v>2.8718726946121542</v>
      </c>
    </row>
    <row r="53" spans="1:144" ht="12" customHeight="1">
      <c r="A53" s="189"/>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c r="CD53" s="188"/>
      <c r="CE53" s="188"/>
      <c r="CF53" s="188"/>
      <c r="CG53" s="188"/>
      <c r="CH53" s="188"/>
      <c r="CI53" s="188"/>
      <c r="CJ53" s="188"/>
      <c r="CK53" s="188"/>
      <c r="CL53" s="188"/>
      <c r="CM53" s="46"/>
      <c r="CN53" s="188"/>
      <c r="CO53" s="188"/>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row>
    <row r="54" spans="1:144" ht="6.75" customHeight="1">
      <c r="A54" s="168"/>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68"/>
      <c r="BS54" s="168"/>
      <c r="BT54" s="168"/>
      <c r="BU54" s="168"/>
      <c r="BV54" s="168"/>
      <c r="BW54" s="168"/>
      <c r="BX54" s="168"/>
      <c r="BY54" s="168"/>
      <c r="BZ54" s="168"/>
      <c r="CA54" s="168"/>
      <c r="CB54" s="168"/>
      <c r="CC54" s="168"/>
      <c r="CD54" s="168"/>
      <c r="CE54" s="168"/>
      <c r="CF54" s="168"/>
      <c r="CG54" s="168"/>
      <c r="CH54" s="168"/>
      <c r="CI54" s="168"/>
      <c r="CJ54" s="168"/>
      <c r="CK54" s="168"/>
      <c r="CL54" s="168"/>
    </row>
    <row r="55" spans="1:144" ht="15">
      <c r="A55" s="187" t="s">
        <v>70</v>
      </c>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8"/>
      <c r="BR55" s="168"/>
      <c r="BS55" s="168"/>
      <c r="BT55" s="168"/>
      <c r="BU55" s="168"/>
      <c r="BV55" s="168"/>
      <c r="BW55" s="168"/>
      <c r="BX55" s="168"/>
      <c r="BY55" s="168"/>
      <c r="BZ55" s="168"/>
      <c r="CA55" s="168"/>
      <c r="CB55" s="195"/>
      <c r="CC55" s="195"/>
      <c r="CD55" s="195"/>
      <c r="CE55" s="195"/>
      <c r="CF55" s="195"/>
      <c r="CG55" s="195"/>
      <c r="CH55" s="195"/>
      <c r="CI55" s="195"/>
      <c r="CJ55" s="178"/>
      <c r="CK55" s="178"/>
      <c r="CL55" s="178"/>
      <c r="CM55" s="195"/>
      <c r="CO55" s="237"/>
      <c r="CS55" s="195"/>
      <c r="CT55" s="195"/>
      <c r="CU55" s="195"/>
      <c r="CV55" s="195"/>
      <c r="CW55" s="195"/>
      <c r="CX55" s="195"/>
      <c r="CY55" s="195"/>
    </row>
    <row r="56" spans="1:144" ht="7.5" customHeight="1">
      <c r="A56" s="185"/>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68"/>
      <c r="BS56" s="168"/>
      <c r="BT56" s="168"/>
      <c r="BU56" s="168"/>
      <c r="BV56" s="168"/>
      <c r="BW56" s="168"/>
      <c r="BX56" s="168"/>
      <c r="BY56" s="168"/>
      <c r="BZ56" s="168"/>
      <c r="CA56" s="168"/>
      <c r="CB56" s="195"/>
      <c r="CC56" s="195"/>
      <c r="CD56" s="195"/>
      <c r="CE56" s="195"/>
      <c r="CF56" s="195"/>
      <c r="CG56" s="195"/>
      <c r="CH56" s="195"/>
      <c r="CI56" s="195"/>
      <c r="CJ56" s="177"/>
      <c r="CK56" s="177"/>
      <c r="CL56" s="177"/>
      <c r="CM56" s="195"/>
      <c r="CN56" s="49"/>
      <c r="CO56" s="236"/>
      <c r="CP56" s="195"/>
      <c r="CQ56" s="195"/>
      <c r="CR56" s="195"/>
      <c r="CS56" s="195"/>
      <c r="CT56" s="195"/>
      <c r="CU56" s="195"/>
      <c r="CV56" s="195"/>
      <c r="CW56" s="195"/>
      <c r="CX56" s="168"/>
    </row>
    <row r="57" spans="1:144" ht="15">
      <c r="A57" s="224" t="s">
        <v>134</v>
      </c>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168"/>
      <c r="BT57" s="168"/>
      <c r="BU57" s="168"/>
      <c r="BV57" s="168"/>
      <c r="BW57" s="168"/>
      <c r="BX57" s="168"/>
      <c r="BY57" s="168"/>
      <c r="BZ57" s="195"/>
      <c r="CA57" s="195"/>
      <c r="CB57" s="186"/>
      <c r="CC57" s="186"/>
      <c r="CD57" s="186"/>
      <c r="CE57" s="186"/>
      <c r="CF57" s="186"/>
      <c r="CG57" s="186"/>
      <c r="CH57" s="186"/>
      <c r="CI57" s="179"/>
      <c r="CJ57" s="200"/>
      <c r="CK57" s="200"/>
      <c r="CL57" s="200"/>
      <c r="CM57" s="186"/>
      <c r="CN57" s="195"/>
      <c r="CO57" s="195"/>
      <c r="CP57" s="195"/>
      <c r="CQ57" s="195"/>
      <c r="CR57" s="195"/>
    </row>
    <row r="58" spans="1:144">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68"/>
      <c r="BY58" s="168"/>
      <c r="BZ58" s="195"/>
      <c r="CA58" s="195"/>
      <c r="CB58" s="196"/>
      <c r="CC58" s="195"/>
      <c r="CD58" s="195"/>
      <c r="CE58" s="195"/>
      <c r="CF58" s="195"/>
      <c r="CG58" s="195"/>
      <c r="CH58" s="195"/>
      <c r="CI58" s="195"/>
      <c r="CJ58" s="200"/>
      <c r="CK58" s="200"/>
      <c r="CL58" s="200"/>
      <c r="CM58" s="195"/>
      <c r="CN58" s="195"/>
      <c r="CO58" s="233"/>
      <c r="CP58" s="233"/>
      <c r="CQ58" s="233"/>
      <c r="CR58" s="233"/>
      <c r="CS58" s="233"/>
      <c r="CT58" s="233"/>
      <c r="CU58" s="233"/>
      <c r="CV58" s="233"/>
      <c r="CW58" s="233"/>
      <c r="CX58" s="233"/>
      <c r="CY58" s="233"/>
      <c r="CZ58" s="233"/>
      <c r="DA58" s="233"/>
      <c r="DB58" s="233"/>
      <c r="DC58" s="233"/>
      <c r="DD58" s="233"/>
      <c r="DE58" s="233"/>
      <c r="DF58" s="233"/>
      <c r="DG58" s="233"/>
      <c r="DH58" s="233"/>
      <c r="DI58" s="233"/>
      <c r="DJ58" s="233"/>
      <c r="DK58" s="233"/>
      <c r="DL58" s="233"/>
      <c r="DM58" s="233"/>
      <c r="DN58" s="233"/>
      <c r="DO58" s="233"/>
      <c r="DP58" s="233"/>
      <c r="DQ58" s="233"/>
      <c r="DR58" s="233"/>
      <c r="DS58" s="233"/>
      <c r="DT58" s="233"/>
      <c r="DU58" s="233"/>
      <c r="DV58" s="233"/>
      <c r="DW58" s="233"/>
      <c r="DX58" s="233"/>
      <c r="DY58" s="233"/>
      <c r="DZ58" s="233"/>
      <c r="EA58" s="233"/>
      <c r="EB58" s="233"/>
      <c r="EC58" s="233"/>
      <c r="ED58" s="233"/>
      <c r="EE58" s="233"/>
      <c r="EF58" s="233"/>
      <c r="EG58" s="233"/>
      <c r="EH58" s="233"/>
      <c r="EI58" s="233"/>
      <c r="EJ58" s="233"/>
      <c r="EK58" s="233"/>
      <c r="EL58" s="233"/>
      <c r="EM58" s="233"/>
      <c r="EN58" s="233"/>
    </row>
    <row r="59" spans="1:144">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95"/>
      <c r="CA59" s="195"/>
      <c r="CB59" s="196"/>
      <c r="CC59" s="195"/>
      <c r="CD59" s="195"/>
      <c r="CE59" s="195"/>
      <c r="CF59" s="195"/>
      <c r="CG59" s="195"/>
      <c r="CH59" s="195"/>
      <c r="CI59" s="195"/>
      <c r="CJ59" s="200"/>
      <c r="CK59" s="200"/>
      <c r="CL59" s="200"/>
      <c r="CM59" s="195"/>
      <c r="CN59" s="195"/>
      <c r="CO59" s="233"/>
      <c r="CP59" s="195"/>
      <c r="CQ59" s="195"/>
      <c r="CR59" s="195"/>
      <c r="CS59" s="195"/>
      <c r="CT59" s="235"/>
      <c r="CU59" s="195"/>
      <c r="CV59" s="195"/>
      <c r="CW59" s="195"/>
      <c r="CX59" s="195"/>
      <c r="CY59" s="195"/>
      <c r="CZ59" s="195"/>
      <c r="DA59" s="195"/>
      <c r="DB59" s="195"/>
      <c r="DC59" s="195"/>
      <c r="DD59" s="195"/>
      <c r="DE59" s="195"/>
      <c r="DF59" s="195"/>
      <c r="DG59" s="195"/>
      <c r="DH59" s="195"/>
      <c r="DI59" s="195"/>
      <c r="DJ59" s="195"/>
      <c r="DK59" s="195"/>
      <c r="DL59" s="195"/>
      <c r="DM59" s="195"/>
      <c r="DN59" s="195"/>
      <c r="DO59" s="195"/>
      <c r="DP59" s="195"/>
      <c r="DQ59" s="195"/>
      <c r="DR59" s="195"/>
      <c r="DS59" s="195"/>
      <c r="DT59" s="195"/>
      <c r="DU59" s="195"/>
      <c r="DV59" s="195"/>
      <c r="DW59" s="195"/>
      <c r="DX59" s="195"/>
      <c r="DY59" s="195"/>
      <c r="DZ59" s="195"/>
      <c r="EA59" s="195"/>
      <c r="EB59" s="195"/>
      <c r="EC59" s="195"/>
      <c r="ED59" s="195"/>
      <c r="EE59" s="195"/>
      <c r="EF59" s="195"/>
      <c r="EG59" s="195"/>
      <c r="EH59" s="195"/>
      <c r="EI59" s="195"/>
      <c r="EJ59" s="195"/>
      <c r="EK59" s="195"/>
      <c r="EL59" s="195"/>
      <c r="EM59" s="195"/>
      <c r="EN59" s="195"/>
    </row>
    <row r="60" spans="1:144" ht="15">
      <c r="A60" s="168"/>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8"/>
      <c r="BR60" s="168"/>
      <c r="BS60" s="168"/>
      <c r="BT60" s="168"/>
      <c r="BU60" s="168"/>
      <c r="BV60" s="168"/>
      <c r="BW60" s="168"/>
      <c r="BX60" s="168"/>
      <c r="BY60" s="168"/>
      <c r="BZ60" s="195"/>
      <c r="CA60" s="195"/>
      <c r="CB60" s="196"/>
      <c r="CC60" s="195"/>
      <c r="CD60" s="195"/>
      <c r="CE60" s="195"/>
      <c r="CF60" s="195"/>
      <c r="CG60" s="195"/>
      <c r="CH60" s="195"/>
      <c r="CI60" s="195"/>
      <c r="CJ60" s="177"/>
      <c r="CK60" s="177"/>
      <c r="CL60" s="177"/>
      <c r="CM60" s="195"/>
      <c r="CN60" s="195"/>
      <c r="CO60" s="233"/>
      <c r="CP60" s="233"/>
      <c r="CQ60" s="233"/>
      <c r="CR60" s="233"/>
      <c r="CS60" s="233"/>
      <c r="CT60" s="233"/>
      <c r="CU60" s="233"/>
      <c r="CV60" s="233"/>
      <c r="CW60" s="233"/>
      <c r="CX60" s="233"/>
      <c r="CY60" s="195"/>
      <c r="CZ60" s="195"/>
      <c r="DA60" s="195"/>
      <c r="DB60" s="195"/>
      <c r="DC60" s="195"/>
      <c r="DD60" s="195"/>
      <c r="DE60" s="195"/>
      <c r="DF60" s="195"/>
      <c r="DG60" s="195"/>
      <c r="DH60" s="195"/>
      <c r="DI60" s="195"/>
      <c r="DJ60" s="195"/>
      <c r="DK60" s="195"/>
      <c r="DL60" s="195"/>
      <c r="DM60" s="195"/>
      <c r="DN60" s="195"/>
      <c r="DO60" s="195"/>
      <c r="DP60" s="195"/>
      <c r="DQ60" s="195"/>
      <c r="DR60" s="195"/>
    </row>
    <row r="61" spans="1:144" ht="15">
      <c r="A61" s="168"/>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8"/>
      <c r="BX61" s="168"/>
      <c r="BY61" s="168"/>
      <c r="BZ61" s="195"/>
      <c r="CA61" s="195"/>
      <c r="CB61" s="196"/>
      <c r="CC61" s="195"/>
      <c r="CD61" s="195"/>
      <c r="CE61" s="195"/>
      <c r="CF61" s="195"/>
      <c r="CG61" s="195"/>
      <c r="CH61" s="195"/>
      <c r="CI61" s="197"/>
      <c r="CJ61" s="177"/>
      <c r="CK61" s="177"/>
      <c r="CL61" s="177"/>
      <c r="CM61" s="195"/>
      <c r="CN61" s="195"/>
      <c r="CO61" s="233"/>
      <c r="CP61" s="233"/>
      <c r="CQ61" s="233"/>
      <c r="CR61" s="233"/>
      <c r="CS61" s="233"/>
      <c r="CT61" s="233"/>
      <c r="CU61" s="233"/>
      <c r="CV61" s="233"/>
      <c r="CW61" s="195"/>
      <c r="CX61" s="195"/>
      <c r="CY61" s="195"/>
      <c r="CZ61" s="195"/>
      <c r="DA61" s="195"/>
      <c r="DB61" s="195"/>
      <c r="DC61" s="195"/>
      <c r="DD61" s="195"/>
      <c r="DE61" s="195"/>
      <c r="DF61" s="195"/>
      <c r="DG61" s="195"/>
      <c r="DH61" s="195"/>
      <c r="DI61" s="195"/>
      <c r="DJ61" s="195"/>
      <c r="DK61" s="195"/>
      <c r="DL61" s="195"/>
      <c r="DM61" s="195"/>
      <c r="DN61" s="195"/>
      <c r="DO61" s="195"/>
      <c r="DP61" s="195"/>
      <c r="DQ61" s="195"/>
      <c r="DR61" s="195"/>
      <c r="DS61" s="195"/>
      <c r="DT61" s="195"/>
      <c r="DU61" s="195"/>
      <c r="DV61" s="195"/>
      <c r="DW61" s="195"/>
      <c r="DX61" s="195"/>
      <c r="DY61" s="195"/>
      <c r="DZ61" s="195"/>
    </row>
    <row r="62" spans="1:144">
      <c r="A62" s="168"/>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8"/>
      <c r="BR62" s="168"/>
      <c r="BS62" s="168"/>
      <c r="BT62" s="168"/>
      <c r="BU62" s="168"/>
      <c r="BV62" s="168"/>
      <c r="BW62" s="168"/>
      <c r="BX62" s="168"/>
      <c r="BY62" s="168"/>
      <c r="BZ62" s="195"/>
      <c r="CA62" s="195"/>
      <c r="CB62" s="196"/>
      <c r="CC62" s="195"/>
      <c r="CD62" s="195"/>
      <c r="CE62" s="195"/>
      <c r="CF62" s="195"/>
      <c r="CG62" s="195"/>
      <c r="CH62" s="195"/>
      <c r="CI62" s="197"/>
      <c r="CJ62" s="195"/>
      <c r="CK62" s="195"/>
      <c r="CL62" s="195"/>
      <c r="CM62" s="195"/>
      <c r="CN62" s="195"/>
      <c r="CO62" s="233"/>
      <c r="CP62" s="195"/>
      <c r="CQ62" s="195"/>
      <c r="CR62" s="195"/>
      <c r="CS62" s="195"/>
      <c r="CT62" s="195"/>
      <c r="CU62" s="195"/>
      <c r="CV62" s="195"/>
      <c r="CW62" s="195"/>
      <c r="CX62" s="195"/>
      <c r="CY62" s="195"/>
      <c r="CZ62" s="195"/>
      <c r="DA62" s="195"/>
      <c r="DB62" s="195"/>
      <c r="DC62" s="195"/>
      <c r="DD62" s="195"/>
      <c r="DE62" s="195"/>
      <c r="DF62" s="195"/>
      <c r="DG62" s="195"/>
      <c r="DH62" s="195"/>
      <c r="DI62" s="195"/>
      <c r="DJ62" s="195"/>
      <c r="DK62" s="195"/>
      <c r="DL62" s="195"/>
      <c r="DM62" s="195"/>
      <c r="DN62" s="195"/>
      <c r="DO62" s="195"/>
      <c r="DP62" s="195"/>
      <c r="DQ62" s="195"/>
    </row>
    <row r="63" spans="1:144">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8"/>
      <c r="BX63" s="168"/>
      <c r="BY63" s="168"/>
      <c r="BZ63" s="195"/>
      <c r="CA63" s="195"/>
      <c r="CB63" s="196"/>
      <c r="CC63" s="195"/>
      <c r="CD63" s="195"/>
      <c r="CE63" s="195"/>
      <c r="CF63" s="195"/>
      <c r="CG63" s="195"/>
      <c r="CH63" s="195"/>
      <c r="CI63" s="197"/>
      <c r="CJ63" s="195"/>
      <c r="CK63" s="195"/>
      <c r="CL63" s="195"/>
      <c r="CM63" s="195"/>
      <c r="CN63" s="195"/>
      <c r="CO63" s="233"/>
      <c r="CP63" s="234"/>
      <c r="CQ63" s="234"/>
      <c r="CR63" s="195"/>
      <c r="CS63" s="195"/>
      <c r="CT63" s="195"/>
      <c r="CU63" s="195"/>
      <c r="CV63" s="195"/>
      <c r="CW63" s="195"/>
      <c r="CX63" s="195"/>
      <c r="CY63" s="195"/>
      <c r="CZ63" s="195"/>
      <c r="DA63" s="195"/>
      <c r="DB63" s="195"/>
      <c r="DC63" s="195"/>
      <c r="DD63" s="195"/>
      <c r="DE63" s="195"/>
      <c r="DF63" s="195"/>
      <c r="DG63" s="195"/>
      <c r="DH63" s="195"/>
      <c r="DI63" s="195"/>
      <c r="DJ63" s="195"/>
      <c r="DK63" s="195"/>
      <c r="DL63" s="195"/>
      <c r="DM63" s="195"/>
      <c r="DO63" s="195"/>
      <c r="DP63" s="195"/>
      <c r="DQ63" s="195"/>
    </row>
    <row r="64" spans="1:144">
      <c r="A64" s="168"/>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8"/>
      <c r="BR64" s="168"/>
      <c r="BS64" s="168"/>
      <c r="BT64" s="168"/>
      <c r="BU64" s="168"/>
      <c r="BV64" s="168"/>
      <c r="BW64" s="168"/>
      <c r="BX64" s="168"/>
      <c r="BY64" s="168"/>
      <c r="BZ64" s="195"/>
      <c r="CA64" s="195"/>
      <c r="CB64" s="196"/>
      <c r="CC64" s="195"/>
      <c r="CD64" s="195"/>
      <c r="CE64" s="195"/>
      <c r="CF64" s="195"/>
      <c r="CG64" s="195"/>
      <c r="CH64" s="195"/>
      <c r="CI64" s="195"/>
      <c r="CJ64" s="195"/>
      <c r="CK64" s="195"/>
      <c r="CL64" s="195"/>
      <c r="CM64" s="195"/>
      <c r="CN64" s="195"/>
      <c r="CO64" s="233"/>
      <c r="CP64" s="234"/>
      <c r="CQ64" s="234"/>
      <c r="CR64" s="195"/>
      <c r="CS64" s="195"/>
      <c r="CT64" s="195"/>
      <c r="CU64" s="195"/>
      <c r="CV64" s="195"/>
      <c r="CW64" s="195"/>
      <c r="CX64" s="195"/>
      <c r="CY64" s="195"/>
      <c r="CZ64" s="195"/>
      <c r="DB64" s="195"/>
      <c r="DC64" s="195"/>
      <c r="DD64" s="195"/>
      <c r="DE64" s="195"/>
      <c r="DF64" s="195"/>
      <c r="DG64" s="195"/>
      <c r="DH64" s="195"/>
      <c r="DI64" s="195"/>
      <c r="DJ64" s="195"/>
      <c r="DK64" s="195"/>
      <c r="DL64" s="195"/>
    </row>
    <row r="65" spans="1:121">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68"/>
      <c r="BS65" s="168"/>
      <c r="BT65" s="168"/>
      <c r="BU65" s="168"/>
      <c r="BV65" s="168"/>
      <c r="BW65" s="168"/>
      <c r="BX65" s="168"/>
      <c r="BY65" s="168"/>
      <c r="BZ65" s="195"/>
      <c r="CA65" s="195"/>
      <c r="CB65" s="196"/>
      <c r="CC65" s="195"/>
      <c r="CD65" s="195"/>
      <c r="CE65" s="195"/>
      <c r="CF65" s="195"/>
      <c r="CG65" s="195"/>
      <c r="CH65" s="195"/>
      <c r="CI65" s="195"/>
      <c r="CJ65" s="195"/>
      <c r="CK65" s="195"/>
      <c r="CL65" s="195"/>
      <c r="CM65" s="195"/>
      <c r="CN65" s="195"/>
      <c r="CO65" s="195"/>
      <c r="CP65" s="234"/>
      <c r="CQ65" s="234"/>
      <c r="CR65" s="195"/>
      <c r="CS65" s="195"/>
      <c r="CT65" s="195"/>
      <c r="CU65" s="195"/>
      <c r="CV65" s="195"/>
      <c r="CW65" s="195"/>
      <c r="CX65" s="195"/>
      <c r="CY65" s="195"/>
      <c r="CZ65" s="195"/>
      <c r="DA65" s="195"/>
      <c r="DB65" s="195"/>
      <c r="DC65" s="195"/>
      <c r="DD65" s="195"/>
      <c r="DE65" s="195"/>
      <c r="DF65" s="195"/>
      <c r="DG65" s="195"/>
      <c r="DH65" s="195"/>
      <c r="DI65" s="195"/>
      <c r="DJ65" s="195"/>
      <c r="DK65" s="195"/>
      <c r="DL65" s="195"/>
    </row>
    <row r="66" spans="1:121">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68"/>
      <c r="BS66" s="168"/>
      <c r="BT66" s="168"/>
      <c r="BU66" s="168"/>
      <c r="BV66" s="168"/>
      <c r="BW66" s="168"/>
      <c r="BX66" s="168"/>
      <c r="BY66" s="168"/>
      <c r="BZ66" s="195"/>
      <c r="CA66" s="195"/>
      <c r="CB66" s="196"/>
      <c r="CC66" s="195"/>
      <c r="CD66" s="195"/>
      <c r="CE66" s="195"/>
      <c r="CF66" s="195"/>
      <c r="CG66" s="195"/>
      <c r="CH66" s="195"/>
      <c r="CI66" s="195"/>
      <c r="CJ66" s="195"/>
      <c r="CK66" s="195"/>
      <c r="CL66" s="195"/>
      <c r="CM66" s="195"/>
      <c r="CN66" s="195"/>
      <c r="CO66" s="195"/>
      <c r="CP66" s="234"/>
      <c r="CQ66" s="234"/>
      <c r="CR66" s="195"/>
      <c r="CS66" s="195"/>
      <c r="CT66" s="195"/>
      <c r="CU66" s="195"/>
      <c r="CV66" s="195"/>
      <c r="CW66" s="195"/>
      <c r="CX66" s="195"/>
      <c r="CY66" s="195"/>
      <c r="CZ66" s="195"/>
      <c r="DA66" s="195"/>
      <c r="DB66" s="195"/>
      <c r="DC66" s="195"/>
    </row>
    <row r="67" spans="1:121">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168"/>
      <c r="BH67" s="168"/>
      <c r="BI67" s="168"/>
      <c r="BJ67" s="168"/>
      <c r="BK67" s="168"/>
      <c r="BL67" s="168"/>
      <c r="BM67" s="168"/>
      <c r="BN67" s="168"/>
      <c r="BO67" s="168"/>
      <c r="BP67" s="168"/>
      <c r="BQ67" s="168"/>
      <c r="BR67" s="168"/>
      <c r="BS67" s="168"/>
      <c r="BT67" s="168"/>
      <c r="BU67" s="168"/>
      <c r="BV67" s="168"/>
      <c r="BW67" s="168"/>
      <c r="BX67" s="168"/>
      <c r="BY67" s="168"/>
      <c r="BZ67" s="195"/>
      <c r="CA67" s="195"/>
      <c r="CB67" s="196"/>
      <c r="CC67" s="195"/>
      <c r="CD67" s="195"/>
      <c r="CE67" s="195"/>
      <c r="CF67" s="195"/>
      <c r="CG67" s="195"/>
      <c r="CH67" s="195"/>
      <c r="CI67" s="195"/>
      <c r="CJ67" s="195"/>
      <c r="CK67" s="195"/>
      <c r="CL67" s="195"/>
      <c r="CM67" s="195"/>
      <c r="CN67" s="195"/>
      <c r="CO67" s="195"/>
      <c r="CP67" s="234"/>
      <c r="CQ67" s="234"/>
      <c r="CR67" s="195"/>
      <c r="CS67" s="195"/>
      <c r="CT67" s="195"/>
      <c r="CU67" s="195"/>
      <c r="CV67" s="195"/>
      <c r="CW67" s="195"/>
      <c r="CX67" s="195"/>
      <c r="CY67" s="195"/>
      <c r="CZ67" s="195"/>
      <c r="DA67" s="195"/>
      <c r="DB67" s="195"/>
      <c r="DC67" s="195"/>
    </row>
    <row r="68" spans="1:121">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c r="BB68" s="168"/>
      <c r="BC68" s="168"/>
      <c r="BD68" s="168"/>
      <c r="BE68" s="168"/>
      <c r="BF68" s="168"/>
      <c r="BG68" s="168"/>
      <c r="BH68" s="168"/>
      <c r="BI68" s="168"/>
      <c r="BJ68" s="168"/>
      <c r="BK68" s="168"/>
      <c r="BL68" s="168"/>
      <c r="BM68" s="168"/>
      <c r="BN68" s="168"/>
      <c r="BO68" s="168"/>
      <c r="BP68" s="168"/>
      <c r="BQ68" s="168"/>
      <c r="BR68" s="168"/>
      <c r="BS68" s="168"/>
      <c r="BT68" s="168"/>
      <c r="BU68" s="168"/>
      <c r="BV68" s="168"/>
      <c r="BW68" s="168"/>
      <c r="BX68" s="168"/>
      <c r="BY68" s="168"/>
      <c r="BZ68" s="195"/>
      <c r="CA68" s="195"/>
      <c r="CB68" s="196"/>
      <c r="CC68" s="195"/>
      <c r="CD68" s="195"/>
      <c r="CE68" s="195"/>
      <c r="CF68" s="195"/>
      <c r="CG68" s="195"/>
      <c r="CH68" s="195"/>
      <c r="CI68" s="195"/>
      <c r="CJ68" s="195"/>
      <c r="CK68" s="195"/>
      <c r="CL68" s="195"/>
      <c r="CM68" s="195"/>
      <c r="CN68" s="195"/>
      <c r="CO68" s="195"/>
      <c r="CP68" s="234"/>
      <c r="CQ68" s="234"/>
      <c r="CR68" s="195"/>
      <c r="CS68" s="195"/>
      <c r="CT68" s="195"/>
      <c r="CU68" s="195"/>
      <c r="CV68" s="195"/>
      <c r="CW68" s="195"/>
      <c r="CX68" s="195"/>
      <c r="CY68" s="195"/>
      <c r="CZ68" s="195"/>
      <c r="DA68" s="195"/>
      <c r="DB68" s="195"/>
      <c r="DC68" s="195"/>
    </row>
    <row r="69" spans="1:121">
      <c r="A69" s="168"/>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8"/>
      <c r="BR69" s="168"/>
      <c r="BS69" s="168"/>
      <c r="BT69" s="168"/>
      <c r="BU69" s="168"/>
      <c r="BV69" s="168"/>
      <c r="BW69" s="168"/>
      <c r="BX69" s="168"/>
      <c r="BY69" s="168"/>
      <c r="BZ69" s="168"/>
      <c r="CA69" s="168"/>
      <c r="CB69" s="168"/>
      <c r="CC69" s="168"/>
      <c r="CD69" s="168"/>
      <c r="CE69" s="168"/>
      <c r="CF69" s="168"/>
      <c r="CG69" s="168"/>
      <c r="CH69" s="168"/>
      <c r="CI69" s="168"/>
      <c r="CJ69" s="168"/>
      <c r="CK69" s="168"/>
      <c r="CL69" s="168"/>
      <c r="CM69" s="168"/>
      <c r="CN69" s="168"/>
      <c r="CO69" s="168"/>
      <c r="CP69" s="168"/>
      <c r="CQ69" s="168"/>
      <c r="CR69" s="168"/>
      <c r="CS69" s="168"/>
      <c r="CT69" s="168"/>
      <c r="CU69" s="168"/>
      <c r="CV69" s="168"/>
      <c r="CW69" s="168"/>
      <c r="CX69" s="168"/>
      <c r="CY69" s="168"/>
      <c r="CZ69" s="168"/>
      <c r="DA69" s="168"/>
      <c r="DB69" s="168"/>
      <c r="DC69" s="168"/>
      <c r="DD69" s="168"/>
      <c r="DE69" s="168"/>
      <c r="DF69" s="168"/>
      <c r="DG69" s="168"/>
      <c r="DH69" s="168"/>
      <c r="DI69" s="168"/>
      <c r="DJ69" s="168"/>
      <c r="DK69" s="168"/>
      <c r="DL69" s="168"/>
      <c r="DM69" s="168"/>
      <c r="DN69" s="168"/>
      <c r="DO69" s="168"/>
      <c r="DP69" s="168"/>
      <c r="DQ69" s="168"/>
    </row>
    <row r="70" spans="1:121">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68"/>
      <c r="BR70" s="168"/>
      <c r="BS70" s="168"/>
      <c r="BT70" s="168"/>
      <c r="BU70" s="168"/>
      <c r="BV70" s="168"/>
      <c r="BW70" s="168"/>
      <c r="BX70" s="168"/>
      <c r="BY70" s="168"/>
      <c r="BZ70" s="168"/>
      <c r="CA70" s="168"/>
      <c r="CB70" s="168"/>
      <c r="CC70" s="168"/>
      <c r="CD70" s="168"/>
      <c r="CE70" s="168"/>
      <c r="CF70" s="168"/>
      <c r="CG70" s="168"/>
      <c r="CH70" s="168"/>
      <c r="CI70" s="168"/>
      <c r="CJ70" s="168"/>
      <c r="CK70" s="168"/>
      <c r="CL70" s="168"/>
      <c r="CM70" s="168"/>
      <c r="CN70" s="168"/>
      <c r="CO70" s="168"/>
      <c r="CP70" s="168"/>
      <c r="CQ70" s="168"/>
      <c r="CR70" s="168"/>
      <c r="CS70" s="168"/>
      <c r="CT70" s="168"/>
      <c r="CU70" s="168"/>
      <c r="CV70" s="168"/>
      <c r="CW70" s="168"/>
      <c r="CX70" s="168"/>
      <c r="CY70" s="168"/>
      <c r="CZ70" s="168"/>
      <c r="DA70" s="168"/>
      <c r="DB70" s="168"/>
      <c r="DC70" s="168"/>
      <c r="DD70" s="168"/>
      <c r="DE70" s="168"/>
      <c r="DF70" s="168"/>
      <c r="DG70" s="168"/>
      <c r="DH70" s="168"/>
      <c r="DI70" s="168"/>
      <c r="DJ70" s="168"/>
      <c r="DK70" s="168"/>
      <c r="DL70" s="168"/>
      <c r="DM70" s="168"/>
      <c r="DN70" s="168"/>
      <c r="DO70" s="168"/>
      <c r="DP70" s="168"/>
      <c r="DQ70" s="168"/>
    </row>
    <row r="71" spans="1:121">
      <c r="A71" s="168"/>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8"/>
      <c r="BQ71" s="168"/>
      <c r="BR71" s="168"/>
      <c r="BS71" s="168"/>
      <c r="BT71" s="168"/>
      <c r="BU71" s="168"/>
      <c r="BV71" s="168"/>
      <c r="BW71" s="168"/>
      <c r="BX71" s="168"/>
      <c r="BY71" s="168"/>
      <c r="BZ71" s="168"/>
      <c r="CA71" s="168"/>
      <c r="CB71" s="168"/>
      <c r="CC71" s="168"/>
      <c r="CD71" s="168"/>
      <c r="CE71" s="168"/>
      <c r="CF71" s="168"/>
      <c r="CG71" s="168"/>
      <c r="CH71" s="168"/>
      <c r="CI71" s="168"/>
      <c r="CJ71" s="168"/>
      <c r="CK71" s="168"/>
      <c r="CL71" s="168"/>
      <c r="CM71" s="168"/>
      <c r="CN71" s="168"/>
      <c r="CO71" s="168"/>
      <c r="CP71" s="168"/>
      <c r="CQ71" s="168"/>
      <c r="CR71" s="168"/>
      <c r="CS71" s="168"/>
      <c r="CT71" s="168"/>
      <c r="CU71" s="168"/>
      <c r="CV71" s="168"/>
      <c r="CW71" s="168"/>
      <c r="CX71" s="168"/>
      <c r="CY71" s="168"/>
      <c r="CZ71" s="168"/>
      <c r="DA71" s="168"/>
      <c r="DB71" s="168"/>
      <c r="DC71" s="168"/>
      <c r="DD71" s="168"/>
      <c r="DE71" s="168"/>
      <c r="DF71" s="168"/>
      <c r="DG71" s="168"/>
      <c r="DH71" s="168"/>
      <c r="DI71" s="168"/>
      <c r="DJ71" s="168"/>
      <c r="DK71" s="168"/>
      <c r="DL71" s="168"/>
      <c r="DM71" s="168"/>
      <c r="DN71" s="168"/>
      <c r="DO71" s="168"/>
      <c r="DP71" s="168"/>
      <c r="DQ71" s="168"/>
    </row>
    <row r="72" spans="1:121">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168"/>
      <c r="BY72" s="168"/>
      <c r="BZ72" s="168"/>
      <c r="CA72" s="168"/>
      <c r="CB72" s="168"/>
      <c r="CC72" s="168"/>
      <c r="CD72" s="168"/>
      <c r="CE72" s="168"/>
      <c r="CF72" s="168"/>
      <c r="CG72" s="168"/>
      <c r="CH72" s="168"/>
      <c r="CI72" s="168"/>
      <c r="CJ72" s="168"/>
      <c r="CK72" s="168"/>
      <c r="CL72" s="168"/>
      <c r="CM72" s="168"/>
      <c r="CN72" s="168"/>
      <c r="CO72" s="168"/>
      <c r="CP72" s="168"/>
      <c r="CQ72" s="168"/>
      <c r="CR72" s="168"/>
      <c r="CS72" s="168"/>
      <c r="CT72" s="168"/>
      <c r="CU72" s="168"/>
      <c r="CV72" s="168"/>
      <c r="CW72" s="168"/>
      <c r="CX72" s="168"/>
      <c r="CY72" s="168"/>
      <c r="CZ72" s="168"/>
      <c r="DA72" s="168"/>
      <c r="DB72" s="168"/>
      <c r="DC72" s="168"/>
      <c r="DD72" s="168"/>
      <c r="DE72" s="168"/>
      <c r="DF72" s="168"/>
      <c r="DG72" s="168"/>
      <c r="DH72" s="168"/>
      <c r="DI72" s="168"/>
      <c r="DJ72" s="168"/>
      <c r="DK72" s="168"/>
      <c r="DL72" s="168"/>
      <c r="DM72" s="168"/>
      <c r="DN72" s="168"/>
      <c r="DO72" s="168"/>
      <c r="DP72" s="168"/>
      <c r="DQ72" s="168"/>
    </row>
    <row r="73" spans="1:121">
      <c r="A73" s="168"/>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c r="BY73" s="168"/>
      <c r="BZ73" s="168"/>
      <c r="CA73" s="168"/>
      <c r="CB73" s="168"/>
      <c r="CC73" s="168"/>
      <c r="CD73" s="168"/>
      <c r="CE73" s="168"/>
      <c r="CF73" s="168"/>
      <c r="CG73" s="168"/>
      <c r="CH73" s="168"/>
      <c r="CI73" s="168"/>
      <c r="CJ73" s="168"/>
      <c r="CK73" s="168"/>
      <c r="CL73" s="168"/>
      <c r="CM73" s="168"/>
      <c r="CN73" s="168"/>
      <c r="CO73" s="168"/>
      <c r="CP73" s="168"/>
      <c r="CQ73" s="168"/>
      <c r="CR73" s="168"/>
      <c r="CS73" s="168"/>
      <c r="CT73" s="168"/>
      <c r="CU73" s="168"/>
      <c r="CV73" s="168"/>
      <c r="CW73" s="168"/>
      <c r="CX73" s="168"/>
      <c r="CY73" s="168"/>
      <c r="CZ73" s="168"/>
      <c r="DA73" s="168"/>
      <c r="DB73" s="168"/>
      <c r="DC73" s="168"/>
      <c r="DD73" s="168"/>
      <c r="DE73" s="168"/>
      <c r="DF73" s="168"/>
      <c r="DG73" s="168"/>
      <c r="DH73" s="168"/>
      <c r="DI73" s="168"/>
      <c r="DJ73" s="168"/>
      <c r="DK73" s="168"/>
      <c r="DL73" s="168"/>
      <c r="DM73" s="168"/>
      <c r="DN73" s="168"/>
      <c r="DO73" s="168"/>
      <c r="DP73" s="168"/>
      <c r="DQ73" s="168"/>
    </row>
    <row r="74" spans="1:121">
      <c r="A74" s="168"/>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8"/>
      <c r="CH74" s="168"/>
      <c r="CI74" s="168"/>
      <c r="CJ74" s="168"/>
      <c r="CK74" s="168"/>
      <c r="CL74" s="168"/>
    </row>
    <row r="75" spans="1:121">
      <c r="A75" s="168"/>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c r="BY75" s="168"/>
      <c r="BZ75" s="168"/>
      <c r="CA75" s="168"/>
      <c r="CB75" s="168"/>
      <c r="CC75" s="168"/>
      <c r="CD75" s="168"/>
      <c r="CE75" s="168"/>
      <c r="CF75" s="168"/>
      <c r="CG75" s="168"/>
      <c r="CH75" s="168"/>
      <c r="CI75" s="168"/>
      <c r="CJ75" s="168"/>
      <c r="CK75" s="168"/>
      <c r="CL75" s="168"/>
    </row>
  </sheetData>
  <mergeCells count="5">
    <mergeCell ref="A19:EN19"/>
    <mergeCell ref="A1:EN1"/>
    <mergeCell ref="A7:EN7"/>
    <mergeCell ref="A24:EN24"/>
    <mergeCell ref="A35:EN36"/>
  </mergeCells>
  <phoneticPr fontId="9" type="noConversion"/>
  <printOptions horizontalCentered="1"/>
  <pageMargins left="0.17" right="0.17" top="0.5" bottom="0.5" header="0.5" footer="0.5"/>
  <pageSetup scale="64" orientation="landscape" r:id="rId1"/>
  <headerFooter alignWithMargins="0"/>
  <ignoredErrors>
    <ignoredError sqref="BE13 BE12"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89"/>
  <sheetViews>
    <sheetView zoomScaleNormal="100" zoomScaleSheetLayoutView="100" workbookViewId="0">
      <pane xSplit="105" ySplit="7" topLeftCell="DX15" activePane="bottomRight" state="frozen"/>
      <selection pane="topRight" activeCell="DB1" sqref="DB1"/>
      <selection pane="bottomLeft" activeCell="A8" sqref="A8"/>
      <selection pane="bottomRight" sqref="A1:EM57"/>
    </sheetView>
  </sheetViews>
  <sheetFormatPr defaultColWidth="8.83203125" defaultRowHeight="12.75" outlineLevelCol="1"/>
  <cols>
    <col min="1" max="1" width="56.33203125" style="71" customWidth="1"/>
    <col min="2" max="6" width="8.83203125" style="71" hidden="1" customWidth="1" outlineLevel="1"/>
    <col min="7" max="7" width="10.5" style="71" hidden="1" customWidth="1" outlineLevel="1"/>
    <col min="8" max="9" width="8.83203125" style="71" hidden="1" customWidth="1" outlineLevel="1"/>
    <col min="10" max="10" width="10.33203125" style="71" hidden="1" customWidth="1" outlineLevel="1"/>
    <col min="11" max="12" width="8.83203125" style="71" hidden="1" customWidth="1" outlineLevel="1"/>
    <col min="13" max="13" width="10.33203125" style="71" hidden="1" customWidth="1" outlineLevel="1"/>
    <col min="14" max="14" width="2.6640625" style="71" hidden="1" customWidth="1" collapsed="1"/>
    <col min="15" max="18" width="8.83203125" style="71" hidden="1" customWidth="1" outlineLevel="1"/>
    <col min="19" max="19" width="8.1640625" style="71" hidden="1" customWidth="1" outlineLevel="1"/>
    <col min="20" max="20" width="10.33203125" style="71" hidden="1" customWidth="1" outlineLevel="1"/>
    <col min="21" max="22" width="8.83203125" style="71" hidden="1" customWidth="1" outlineLevel="1"/>
    <col min="23" max="23" width="10.33203125" style="71" hidden="1" customWidth="1" outlineLevel="1"/>
    <col min="24" max="24" width="8.1640625" style="71" hidden="1" customWidth="1" outlineLevel="1"/>
    <col min="25" max="25" width="8.83203125" style="71" hidden="1" customWidth="1" outlineLevel="1"/>
    <col min="26" max="26" width="10.33203125" style="71" hidden="1" customWidth="1" outlineLevel="1"/>
    <col min="27" max="27" width="2.1640625" style="71" hidden="1" customWidth="1" outlineLevel="1"/>
    <col min="28" max="28" width="8.83203125" style="71" hidden="1" customWidth="1" outlineLevel="1"/>
    <col min="29" max="29" width="9.33203125" style="71" hidden="1" customWidth="1" outlineLevel="1"/>
    <col min="30" max="31" width="8.83203125" style="71" hidden="1" customWidth="1" outlineLevel="1"/>
    <col min="32" max="32" width="8.33203125" style="71" hidden="1" customWidth="1" outlineLevel="1"/>
    <col min="33" max="33" width="10.33203125" style="71" hidden="1" customWidth="1" outlineLevel="1"/>
    <col min="34" max="34" width="9.6640625" style="71" hidden="1" customWidth="1" outlineLevel="1"/>
    <col min="35" max="35" width="9.33203125" style="71" hidden="1" customWidth="1" outlineLevel="1"/>
    <col min="36" max="36" width="10.33203125" style="71" hidden="1" customWidth="1" outlineLevel="1"/>
    <col min="37" max="37" width="10.1640625" style="71" hidden="1" customWidth="1" outlineLevel="1"/>
    <col min="38" max="38" width="9.6640625" style="71" hidden="1" customWidth="1" outlineLevel="1"/>
    <col min="39" max="39" width="10.33203125" style="71" hidden="1" customWidth="1" outlineLevel="1"/>
    <col min="40" max="40" width="2.1640625" style="71" hidden="1" customWidth="1" outlineLevel="1"/>
    <col min="41" max="41" width="9" style="71" hidden="1" customWidth="1" outlineLevel="1" collapsed="1"/>
    <col min="42" max="44" width="8.83203125" style="71" hidden="1" customWidth="1" outlineLevel="1"/>
    <col min="45" max="45" width="9.83203125" style="71" hidden="1" customWidth="1" outlineLevel="1"/>
    <col min="46" max="46" width="12.1640625" style="71" hidden="1" customWidth="1" outlineLevel="1"/>
    <col min="47" max="48" width="8.83203125" style="71" hidden="1" customWidth="1" outlineLevel="1"/>
    <col min="49" max="49" width="12.1640625" style="71" hidden="1" customWidth="1" outlineLevel="1"/>
    <col min="50" max="51" width="8.83203125" style="71" hidden="1" customWidth="1" outlineLevel="1"/>
    <col min="52" max="52" width="12.1640625" style="71" hidden="1" customWidth="1" outlineLevel="1"/>
    <col min="53" max="53" width="2.1640625" style="71" hidden="1" customWidth="1" collapsed="1"/>
    <col min="54" max="54" width="8.83203125" style="71" hidden="1" customWidth="1" outlineLevel="1"/>
    <col min="55" max="58" width="9" style="71" hidden="1" customWidth="1" outlineLevel="1"/>
    <col min="59" max="59" width="10.33203125" style="71" hidden="1" customWidth="1" outlineLevel="1"/>
    <col min="60" max="61" width="9" style="71" hidden="1" customWidth="1" outlineLevel="1"/>
    <col min="62" max="62" width="12.1640625" style="71" hidden="1" customWidth="1" outlineLevel="1"/>
    <col min="63" max="63" width="9" style="71" hidden="1" customWidth="1" outlineLevel="1"/>
    <col min="64" max="64" width="8.83203125" style="71" hidden="1" customWidth="1" outlineLevel="1"/>
    <col min="65" max="65" width="9.5" style="71" hidden="1" customWidth="1" outlineLevel="1"/>
    <col min="66" max="66" width="1.83203125" style="71" hidden="1" customWidth="1" collapsed="1"/>
    <col min="67" max="67" width="0" style="71" hidden="1" customWidth="1"/>
    <col min="68" max="71" width="8.83203125" style="71" hidden="1" customWidth="1"/>
    <col min="72" max="72" width="10.33203125" style="71" hidden="1" customWidth="1"/>
    <col min="73" max="74" width="8.83203125" style="71" hidden="1" customWidth="1"/>
    <col min="75" max="75" width="11" style="71" hidden="1" customWidth="1"/>
    <col min="76" max="77" width="8.83203125" style="71" hidden="1" customWidth="1"/>
    <col min="78" max="78" width="12" style="71" hidden="1" customWidth="1"/>
    <col min="79" max="79" width="1.83203125" style="71" hidden="1" customWidth="1"/>
    <col min="80" max="80" width="10.6640625" style="71" hidden="1" customWidth="1"/>
    <col min="81" max="84" width="8.83203125" style="71" hidden="1" customWidth="1"/>
    <col min="85" max="85" width="10.5" style="71" hidden="1" customWidth="1"/>
    <col min="86" max="87" width="8.83203125" style="71" hidden="1" customWidth="1"/>
    <col min="88" max="88" width="11.33203125" style="71" hidden="1" customWidth="1"/>
    <col min="89" max="90" width="8.83203125" style="71" hidden="1" customWidth="1"/>
    <col min="91" max="91" width="10.5" style="71" hidden="1" customWidth="1"/>
    <col min="92" max="92" width="1.83203125" style="71" hidden="1" customWidth="1"/>
    <col min="93" max="93" width="10.6640625" style="71" hidden="1" customWidth="1"/>
    <col min="94" max="97" width="8.83203125" style="71" hidden="1" customWidth="1"/>
    <col min="98" max="98" width="10.1640625" style="71" hidden="1" customWidth="1"/>
    <col min="99" max="100" width="8.83203125" style="71" hidden="1" customWidth="1"/>
    <col min="101" max="101" width="11.33203125" style="71" hidden="1" customWidth="1"/>
    <col min="102" max="103" width="8.83203125" style="71" hidden="1" customWidth="1"/>
    <col min="104" max="104" width="10.33203125" style="71" hidden="1" customWidth="1"/>
    <col min="105" max="105" width="4" style="71" hidden="1" customWidth="1"/>
    <col min="106" max="106" width="8.83203125" style="71" hidden="1" customWidth="1"/>
    <col min="107" max="107" width="16.1640625" style="71" hidden="1" customWidth="1"/>
    <col min="108" max="108" width="10" style="71" hidden="1" customWidth="1"/>
    <col min="109" max="109" width="15.83203125" style="71" hidden="1" customWidth="1"/>
    <col min="110" max="110" width="8.83203125" style="71" hidden="1" customWidth="1"/>
    <col min="111" max="111" width="9.1640625" style="71" hidden="1" customWidth="1"/>
    <col min="112" max="112" width="11.83203125" style="71" hidden="1" customWidth="1"/>
    <col min="113" max="113" width="10.1640625" style="71" hidden="1" customWidth="1"/>
    <col min="114" max="114" width="9.1640625" style="71" hidden="1" customWidth="1"/>
    <col min="115" max="115" width="15.83203125" style="71" hidden="1" customWidth="1"/>
    <col min="116" max="116" width="8.83203125" style="71" hidden="1" customWidth="1"/>
    <col min="117" max="117" width="9.1640625" style="71" hidden="1" customWidth="1"/>
    <col min="118" max="118" width="1.83203125" style="71" hidden="1" customWidth="1"/>
    <col min="119" max="119" width="8.83203125" style="71" customWidth="1"/>
    <col min="120" max="120" width="10.6640625" style="71" customWidth="1"/>
    <col min="121" max="121" width="10" style="71" customWidth="1"/>
    <col min="122" max="129" width="8.83203125" style="71" customWidth="1"/>
    <col min="130" max="130" width="9.1640625" style="71" bestFit="1" customWidth="1"/>
    <col min="131" max="131" width="1.6640625" style="71" customWidth="1"/>
    <col min="132" max="132" width="8.83203125" style="71" customWidth="1"/>
    <col min="133" max="133" width="10.6640625" style="71" customWidth="1"/>
    <col min="134" max="134" width="10" style="71" customWidth="1"/>
    <col min="135" max="138" width="8.83203125" style="71" customWidth="1"/>
    <col min="139" max="142" width="8.83203125" style="71" hidden="1" customWidth="1"/>
    <col min="143" max="143" width="7.83203125" style="71" hidden="1" customWidth="1"/>
    <col min="144" max="16384" width="8.83203125" style="71"/>
  </cols>
  <sheetData>
    <row r="1" spans="1:143" s="58" customFormat="1" ht="15.75" customHeight="1">
      <c r="A1" s="306" t="s">
        <v>5</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c r="CV1" s="306"/>
      <c r="CW1" s="306"/>
      <c r="CX1" s="306"/>
      <c r="CY1" s="306"/>
      <c r="CZ1" s="306"/>
      <c r="DA1" s="306"/>
      <c r="DB1" s="306"/>
      <c r="DC1" s="306"/>
      <c r="DD1" s="306"/>
      <c r="DE1" s="306"/>
      <c r="DF1" s="306"/>
      <c r="DG1" s="306"/>
      <c r="DH1" s="306"/>
      <c r="DI1" s="306"/>
      <c r="DJ1" s="306"/>
      <c r="DK1" s="306"/>
      <c r="DL1" s="306"/>
      <c r="DM1" s="306"/>
      <c r="DN1" s="306"/>
      <c r="DO1" s="306"/>
      <c r="DP1" s="306"/>
      <c r="DQ1" s="306"/>
      <c r="DR1" s="306"/>
      <c r="DS1" s="306"/>
      <c r="DT1" s="306"/>
      <c r="DU1" s="306"/>
      <c r="DV1" s="306"/>
      <c r="DW1" s="306"/>
      <c r="DX1" s="306"/>
      <c r="DY1" s="306"/>
      <c r="DZ1" s="306"/>
      <c r="EA1" s="306"/>
      <c r="EB1" s="306"/>
      <c r="EC1" s="306"/>
      <c r="ED1" s="306"/>
      <c r="EE1" s="306"/>
      <c r="EF1" s="306"/>
      <c r="EG1" s="306"/>
      <c r="EH1" s="306"/>
      <c r="EI1" s="306"/>
      <c r="EJ1" s="306"/>
      <c r="EK1" s="306"/>
      <c r="EL1" s="306"/>
      <c r="EM1" s="306"/>
    </row>
    <row r="2" spans="1:143" s="58" customFormat="1" ht="15.75" customHeight="1">
      <c r="A2" s="307" t="s">
        <v>16</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07"/>
      <c r="BD2" s="307"/>
      <c r="BE2" s="307"/>
      <c r="BF2" s="307"/>
      <c r="BG2" s="307"/>
      <c r="BH2" s="307"/>
      <c r="BI2" s="307"/>
      <c r="BJ2" s="307"/>
      <c r="BK2" s="307"/>
      <c r="BL2" s="307"/>
      <c r="BM2" s="307"/>
      <c r="BN2" s="307"/>
      <c r="BO2" s="307"/>
      <c r="BP2" s="307"/>
      <c r="BQ2" s="307"/>
      <c r="BR2" s="307"/>
      <c r="BS2" s="307"/>
      <c r="BT2" s="307"/>
      <c r="BU2" s="307"/>
      <c r="BV2" s="307"/>
      <c r="BW2" s="307"/>
      <c r="BX2" s="307"/>
      <c r="BY2" s="307"/>
      <c r="BZ2" s="307"/>
      <c r="CA2" s="307"/>
      <c r="CB2" s="307"/>
      <c r="CC2" s="307"/>
      <c r="CD2" s="307"/>
      <c r="CE2" s="307"/>
      <c r="CF2" s="307"/>
      <c r="CG2" s="307"/>
      <c r="CH2" s="307"/>
      <c r="CI2" s="307"/>
      <c r="CJ2" s="307"/>
      <c r="CK2" s="307"/>
      <c r="CL2" s="307"/>
      <c r="CM2" s="307"/>
      <c r="CN2" s="307"/>
      <c r="CO2" s="307"/>
      <c r="CP2" s="307"/>
      <c r="CQ2" s="307"/>
      <c r="CR2" s="307"/>
      <c r="CS2" s="307"/>
      <c r="CT2" s="307"/>
      <c r="CU2" s="307"/>
      <c r="CV2" s="307"/>
      <c r="CW2" s="307"/>
      <c r="CX2" s="307"/>
      <c r="CY2" s="307"/>
      <c r="CZ2" s="307"/>
      <c r="DA2" s="307"/>
      <c r="DB2" s="307"/>
      <c r="DC2" s="307"/>
      <c r="DD2" s="307"/>
      <c r="DE2" s="307"/>
      <c r="DF2" s="307"/>
      <c r="DG2" s="307"/>
      <c r="DH2" s="307"/>
      <c r="DI2" s="307"/>
      <c r="DJ2" s="307"/>
      <c r="DK2" s="307"/>
      <c r="DL2" s="307"/>
      <c r="DM2" s="307"/>
      <c r="DN2" s="307"/>
      <c r="DO2" s="307"/>
      <c r="DP2" s="307"/>
      <c r="DQ2" s="307"/>
      <c r="DR2" s="307"/>
      <c r="DS2" s="307"/>
      <c r="DT2" s="307"/>
      <c r="DU2" s="307"/>
      <c r="DV2" s="307"/>
      <c r="DW2" s="307"/>
      <c r="DX2" s="307"/>
      <c r="DY2" s="307"/>
      <c r="DZ2" s="307"/>
      <c r="EA2" s="307"/>
      <c r="EB2" s="307"/>
      <c r="EC2" s="307"/>
      <c r="ED2" s="307"/>
      <c r="EE2" s="307"/>
      <c r="EF2" s="307"/>
      <c r="EG2" s="307"/>
      <c r="EH2" s="307"/>
      <c r="EI2" s="307"/>
      <c r="EJ2" s="307"/>
      <c r="EK2" s="307"/>
      <c r="EL2" s="307"/>
      <c r="EM2" s="307"/>
    </row>
    <row r="3" spans="1:143" s="61" customFormat="1" ht="6" customHeight="1">
      <c r="A3" s="59"/>
      <c r="B3" s="60"/>
      <c r="C3" s="60"/>
      <c r="D3" s="60"/>
      <c r="E3" s="60"/>
      <c r="F3" s="60"/>
      <c r="G3" s="60"/>
      <c r="H3" s="60"/>
      <c r="I3" s="60"/>
      <c r="J3" s="60"/>
      <c r="K3" s="60"/>
      <c r="L3" s="60"/>
      <c r="M3" s="60"/>
    </row>
    <row r="4" spans="1:143" s="58" customFormat="1" ht="6" customHeight="1">
      <c r="A4" s="62"/>
      <c r="B4" s="63"/>
      <c r="C4" s="63"/>
      <c r="D4" s="63"/>
      <c r="E4" s="63"/>
      <c r="F4" s="63"/>
      <c r="G4" s="63"/>
      <c r="H4" s="63"/>
      <c r="I4" s="63"/>
      <c r="J4" s="63"/>
      <c r="K4" s="63"/>
      <c r="L4" s="63"/>
      <c r="M4" s="63"/>
    </row>
    <row r="5" spans="1:143" s="64" customFormat="1">
      <c r="B5" s="65">
        <v>39083</v>
      </c>
      <c r="C5" s="65">
        <v>39114</v>
      </c>
      <c r="D5" s="65">
        <v>39142</v>
      </c>
      <c r="E5" s="65">
        <v>39173</v>
      </c>
      <c r="F5" s="65">
        <v>39203</v>
      </c>
      <c r="G5" s="65">
        <v>39234</v>
      </c>
      <c r="H5" s="65">
        <v>39264</v>
      </c>
      <c r="I5" s="65">
        <v>39295</v>
      </c>
      <c r="J5" s="65">
        <v>39326</v>
      </c>
      <c r="K5" s="65">
        <v>39356</v>
      </c>
      <c r="L5" s="65">
        <v>39387</v>
      </c>
      <c r="M5" s="65">
        <v>39417</v>
      </c>
      <c r="O5" s="65">
        <v>39448</v>
      </c>
      <c r="P5" s="65">
        <v>39479</v>
      </c>
      <c r="Q5" s="65">
        <v>39508</v>
      </c>
      <c r="R5" s="65">
        <v>39539</v>
      </c>
      <c r="S5" s="65">
        <v>39569</v>
      </c>
      <c r="T5" s="65">
        <v>39600</v>
      </c>
      <c r="U5" s="65">
        <v>39630</v>
      </c>
      <c r="V5" s="65">
        <v>39661</v>
      </c>
      <c r="W5" s="65">
        <v>39692</v>
      </c>
      <c r="X5" s="65">
        <v>39722</v>
      </c>
      <c r="Y5" s="65">
        <v>39753</v>
      </c>
      <c r="Z5" s="65">
        <v>39783</v>
      </c>
      <c r="AB5" s="65">
        <v>39814</v>
      </c>
      <c r="AC5" s="65">
        <v>39845</v>
      </c>
      <c r="AD5" s="65">
        <v>39873</v>
      </c>
      <c r="AE5" s="65">
        <v>39904</v>
      </c>
      <c r="AF5" s="65">
        <v>39934</v>
      </c>
      <c r="AG5" s="65">
        <v>39965</v>
      </c>
      <c r="AH5" s="65">
        <v>39995</v>
      </c>
      <c r="AI5" s="65">
        <v>40026</v>
      </c>
      <c r="AJ5" s="65">
        <v>40057</v>
      </c>
      <c r="AK5" s="65">
        <v>40087</v>
      </c>
      <c r="AL5" s="65">
        <v>40118</v>
      </c>
      <c r="AM5" s="65">
        <v>40148</v>
      </c>
      <c r="AN5" s="65"/>
      <c r="AO5" s="65">
        <v>40179</v>
      </c>
      <c r="AP5" s="65">
        <v>40210</v>
      </c>
      <c r="AQ5" s="65">
        <v>40238</v>
      </c>
      <c r="AR5" s="65">
        <v>40269</v>
      </c>
      <c r="AS5" s="65">
        <v>40299</v>
      </c>
      <c r="AT5" s="65">
        <v>40330</v>
      </c>
      <c r="AU5" s="65">
        <v>40360</v>
      </c>
      <c r="AV5" s="65">
        <v>40391</v>
      </c>
      <c r="AW5" s="65">
        <v>40422</v>
      </c>
      <c r="AX5" s="65">
        <v>40452</v>
      </c>
      <c r="AY5" s="65">
        <v>40483</v>
      </c>
      <c r="AZ5" s="65">
        <v>40513</v>
      </c>
      <c r="BB5" s="65">
        <v>40544</v>
      </c>
      <c r="BC5" s="65">
        <v>40575</v>
      </c>
      <c r="BD5" s="65">
        <v>40603</v>
      </c>
      <c r="BE5" s="65">
        <v>40634</v>
      </c>
      <c r="BF5" s="65">
        <v>40664</v>
      </c>
      <c r="BG5" s="65">
        <v>40695</v>
      </c>
      <c r="BH5" s="65">
        <v>40725</v>
      </c>
      <c r="BI5" s="65">
        <v>40756</v>
      </c>
      <c r="BJ5" s="65">
        <v>40787</v>
      </c>
      <c r="BK5" s="65">
        <v>40817</v>
      </c>
      <c r="BL5" s="65">
        <v>40848</v>
      </c>
      <c r="BM5" s="65">
        <v>40878</v>
      </c>
      <c r="BO5" s="65">
        <v>40909</v>
      </c>
      <c r="BP5" s="65">
        <v>40940</v>
      </c>
      <c r="BQ5" s="65">
        <v>40969</v>
      </c>
      <c r="BR5" s="65">
        <v>41000</v>
      </c>
      <c r="BS5" s="65">
        <v>41030</v>
      </c>
      <c r="BT5" s="65">
        <v>41061</v>
      </c>
      <c r="BU5" s="65">
        <v>41091</v>
      </c>
      <c r="BV5" s="65">
        <v>41122</v>
      </c>
      <c r="BW5" s="65">
        <v>41153</v>
      </c>
      <c r="BX5" s="65">
        <v>41183</v>
      </c>
      <c r="BY5" s="65">
        <v>41214</v>
      </c>
      <c r="BZ5" s="65">
        <v>41244</v>
      </c>
      <c r="CB5" s="65">
        <v>41275</v>
      </c>
      <c r="CC5" s="65">
        <v>41306</v>
      </c>
      <c r="CD5" s="65">
        <v>41334</v>
      </c>
      <c r="CE5" s="65">
        <v>41365</v>
      </c>
      <c r="CF5" s="65">
        <v>41395</v>
      </c>
      <c r="CG5" s="65">
        <v>41426</v>
      </c>
      <c r="CH5" s="65">
        <v>41456</v>
      </c>
      <c r="CI5" s="65">
        <v>41487</v>
      </c>
      <c r="CJ5" s="65">
        <v>41518</v>
      </c>
      <c r="CK5" s="65">
        <v>41548</v>
      </c>
      <c r="CL5" s="65">
        <v>41579</v>
      </c>
      <c r="CM5" s="65">
        <v>41609</v>
      </c>
      <c r="CO5" s="65">
        <v>41640</v>
      </c>
      <c r="CP5" s="65">
        <v>41671</v>
      </c>
      <c r="CQ5" s="65">
        <v>41699</v>
      </c>
      <c r="CR5" s="65">
        <v>41730</v>
      </c>
      <c r="CS5" s="65">
        <v>41760</v>
      </c>
      <c r="CT5" s="65">
        <v>41791</v>
      </c>
      <c r="CU5" s="65">
        <v>41821</v>
      </c>
      <c r="CV5" s="65">
        <v>41852</v>
      </c>
      <c r="CW5" s="65">
        <v>41883</v>
      </c>
      <c r="CX5" s="65">
        <v>41913</v>
      </c>
      <c r="CY5" s="65">
        <v>41944</v>
      </c>
      <c r="CZ5" s="65">
        <v>41974</v>
      </c>
      <c r="DB5" s="65">
        <v>42005</v>
      </c>
      <c r="DC5" s="65">
        <v>42036</v>
      </c>
      <c r="DD5" s="65">
        <v>42064</v>
      </c>
      <c r="DE5" s="65">
        <v>42095</v>
      </c>
      <c r="DF5" s="65">
        <v>42125</v>
      </c>
      <c r="DG5" s="65">
        <v>42156</v>
      </c>
      <c r="DH5" s="65">
        <v>42186</v>
      </c>
      <c r="DI5" s="65">
        <v>42217</v>
      </c>
      <c r="DJ5" s="65">
        <v>42248</v>
      </c>
      <c r="DK5" s="65">
        <v>42278</v>
      </c>
      <c r="DL5" s="65">
        <v>42309</v>
      </c>
      <c r="DM5" s="65">
        <v>42339</v>
      </c>
      <c r="DO5" s="65">
        <v>42370</v>
      </c>
      <c r="DP5" s="65">
        <v>42401</v>
      </c>
      <c r="DQ5" s="65">
        <v>42430</v>
      </c>
      <c r="DR5" s="65">
        <v>42461</v>
      </c>
      <c r="DS5" s="65">
        <v>42491</v>
      </c>
      <c r="DT5" s="65">
        <v>42522</v>
      </c>
      <c r="DU5" s="65">
        <v>42552</v>
      </c>
      <c r="DV5" s="65">
        <v>42583</v>
      </c>
      <c r="DW5" s="65">
        <v>42614</v>
      </c>
      <c r="DX5" s="65">
        <v>42644</v>
      </c>
      <c r="DY5" s="65">
        <v>42675</v>
      </c>
      <c r="DZ5" s="65">
        <v>42705</v>
      </c>
      <c r="EB5" s="65">
        <v>42736</v>
      </c>
      <c r="EC5" s="65">
        <v>42767</v>
      </c>
      <c r="ED5" s="65">
        <v>42795</v>
      </c>
      <c r="EE5" s="65">
        <v>42826</v>
      </c>
      <c r="EF5" s="65">
        <v>42856</v>
      </c>
      <c r="EG5" s="65">
        <v>42887</v>
      </c>
      <c r="EH5" s="65">
        <v>42917</v>
      </c>
      <c r="EI5" s="65">
        <v>42948</v>
      </c>
      <c r="EJ5" s="65">
        <v>42979</v>
      </c>
      <c r="EK5" s="65">
        <v>43009</v>
      </c>
      <c r="EL5" s="65">
        <v>43040</v>
      </c>
      <c r="EM5" s="65">
        <v>43070</v>
      </c>
    </row>
    <row r="6" spans="1:143" s="64" customFormat="1">
      <c r="B6" s="65"/>
      <c r="C6" s="65"/>
      <c r="D6" s="65"/>
      <c r="E6" s="65"/>
      <c r="F6" s="65"/>
      <c r="G6" s="65"/>
      <c r="H6" s="65"/>
      <c r="I6" s="65"/>
      <c r="J6" s="65"/>
      <c r="K6" s="65"/>
      <c r="L6" s="65"/>
      <c r="O6" s="66"/>
      <c r="Q6" s="65"/>
      <c r="S6" s="67"/>
    </row>
    <row r="7" spans="1:143" s="68" customFormat="1" ht="6" customHeight="1"/>
    <row r="8" spans="1:143" s="58" customFormat="1" ht="6" customHeight="1">
      <c r="A8" s="69"/>
      <c r="B8" s="70"/>
      <c r="C8" s="70"/>
      <c r="D8" s="70"/>
      <c r="E8" s="70"/>
      <c r="F8" s="70"/>
      <c r="G8" s="70"/>
      <c r="H8" s="70"/>
      <c r="I8" s="70"/>
      <c r="J8" s="70"/>
    </row>
    <row r="9" spans="1:143">
      <c r="A9" s="308" t="s">
        <v>24</v>
      </c>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8"/>
      <c r="BA9" s="308"/>
      <c r="BB9" s="308"/>
      <c r="BC9" s="308"/>
      <c r="BD9" s="308"/>
      <c r="BE9" s="308"/>
      <c r="BF9" s="308"/>
      <c r="BG9" s="308"/>
      <c r="BH9" s="308"/>
      <c r="BI9" s="308"/>
      <c r="BJ9" s="308"/>
      <c r="BK9" s="308"/>
      <c r="BL9" s="308"/>
      <c r="BM9" s="308"/>
      <c r="BN9" s="308"/>
      <c r="BO9" s="308"/>
      <c r="BP9" s="308"/>
      <c r="BQ9" s="308"/>
      <c r="BR9" s="308"/>
      <c r="BS9" s="308"/>
      <c r="BT9" s="308"/>
      <c r="BU9" s="308"/>
      <c r="BV9" s="308"/>
      <c r="BW9" s="308"/>
      <c r="BX9" s="308"/>
      <c r="BY9" s="308"/>
      <c r="BZ9" s="308"/>
      <c r="CA9" s="308"/>
      <c r="CB9" s="308"/>
      <c r="CC9" s="308"/>
      <c r="CD9" s="308"/>
      <c r="CE9" s="308"/>
      <c r="CF9" s="308"/>
      <c r="CG9" s="308"/>
      <c r="CH9" s="308"/>
      <c r="CI9" s="308"/>
      <c r="CJ9" s="308"/>
      <c r="CK9" s="308"/>
      <c r="CL9" s="308"/>
      <c r="CM9" s="308"/>
      <c r="CN9" s="308"/>
      <c r="CO9" s="308"/>
      <c r="CP9" s="308"/>
      <c r="CQ9" s="308"/>
      <c r="CR9" s="308"/>
      <c r="CS9" s="308"/>
      <c r="CT9" s="308"/>
      <c r="CU9" s="308"/>
      <c r="CV9" s="308"/>
      <c r="CW9" s="308"/>
      <c r="CX9" s="308"/>
      <c r="CY9" s="308"/>
      <c r="CZ9" s="308"/>
      <c r="DA9" s="308"/>
      <c r="DB9" s="308"/>
      <c r="DC9" s="308"/>
      <c r="DD9" s="308"/>
      <c r="DE9" s="308"/>
      <c r="DF9" s="308"/>
      <c r="DG9" s="308"/>
      <c r="DH9" s="308"/>
      <c r="DI9" s="308"/>
      <c r="DJ9" s="308"/>
      <c r="DK9" s="308"/>
      <c r="DL9" s="308"/>
      <c r="DM9" s="308"/>
      <c r="DN9" s="308"/>
      <c r="DO9" s="308"/>
      <c r="DP9" s="308"/>
      <c r="DQ9" s="308"/>
      <c r="DR9" s="308"/>
      <c r="DS9" s="308"/>
      <c r="DT9" s="308"/>
      <c r="DU9" s="308"/>
      <c r="DV9" s="308"/>
      <c r="DW9" s="308"/>
      <c r="DX9" s="308"/>
      <c r="DY9" s="308"/>
      <c r="DZ9" s="308"/>
      <c r="EA9" s="308"/>
      <c r="EB9" s="308"/>
      <c r="EC9" s="308"/>
      <c r="ED9" s="308"/>
      <c r="EE9" s="308"/>
      <c r="EF9" s="308"/>
      <c r="EG9" s="308"/>
      <c r="EH9" s="308"/>
      <c r="EI9" s="308"/>
      <c r="EJ9" s="308"/>
      <c r="EK9" s="308"/>
      <c r="EL9" s="308"/>
      <c r="EM9" s="308"/>
    </row>
    <row r="10" spans="1:143" ht="3" customHeight="1">
      <c r="A10" s="72"/>
      <c r="B10" s="73"/>
      <c r="C10" s="73"/>
      <c r="D10" s="73"/>
      <c r="E10" s="73"/>
      <c r="F10" s="73"/>
      <c r="G10" s="73"/>
      <c r="H10" s="73"/>
      <c r="I10" s="73"/>
      <c r="J10" s="73"/>
    </row>
    <row r="11" spans="1:143">
      <c r="A11" s="71" t="s">
        <v>17</v>
      </c>
      <c r="B11" s="73"/>
      <c r="C11" s="73"/>
      <c r="D11" s="73"/>
      <c r="E11" s="73"/>
      <c r="F11" s="73"/>
      <c r="G11" s="73"/>
      <c r="H11" s="73"/>
      <c r="I11" s="73"/>
      <c r="J11" s="73"/>
      <c r="K11" s="73"/>
      <c r="L11" s="73"/>
      <c r="M11" s="79"/>
      <c r="O11" s="73">
        <f>+O36/B36*100-100</f>
        <v>6.6656339480429665</v>
      </c>
      <c r="P11" s="73">
        <f>+((O36+P36)/(B36+C36))*100-100</f>
        <v>13.576451712768019</v>
      </c>
      <c r="Q11" s="73">
        <f>+((O36+P36+Q36)/(B36+C36+D36))*100-100</f>
        <v>19.713033871903349</v>
      </c>
      <c r="R11" s="73">
        <f>+((O36+P36+Q36+R36)/(B36+C36+D36+E36))*100-100</f>
        <v>20.679299846073633</v>
      </c>
      <c r="S11" s="73">
        <f>+((O36+P36+Q36+R36+S36)/(B36+C36+D36+E36+F36))*100-100</f>
        <v>20.844394281756351</v>
      </c>
      <c r="T11" s="73">
        <f>+((O36+P36+Q36+R36+S36+T36)/(B36+C36+D36+E36+F36+G36))*100-100</f>
        <v>21.54284565501186</v>
      </c>
      <c r="U11" s="73">
        <f>+((O36+P36+Q36+R36+S36+T36+U36)/(B36+C36+D36+E36+F36+G36+H36))*100-100</f>
        <v>22.270894729452976</v>
      </c>
      <c r="V11" s="73">
        <f>+((O36+P36+Q36+R36+S36+T36+U36+V36)/(B36+C36+D36+E36+F36+G36+H36+I36))*100-100</f>
        <v>23.41595546297863</v>
      </c>
      <c r="W11" s="73">
        <f>+((O36+P36+Q36+R36+S36+T36+U36+V36+W36)/(B36+C36+D36+E36+F36+G36+H36+I36+J36))*100-100</f>
        <v>21.948318806680604</v>
      </c>
      <c r="X11" s="73">
        <f>+((O36+P36+Q36+R36+S36+T36+U36+V36+W36+X36)/(B36+C36+D36+E36+F36+G36+H36+I36+J36+K36))*100-100</f>
        <v>21.632468265197048</v>
      </c>
      <c r="Y11" s="73">
        <f>+((O36+P36+Q36+R36+S36+T36+U36+V36+W36+X36+Y36)/(B36+C36+D36+E36+F36+G36+H36+I36+J36+K36+L36))*100-100</f>
        <v>18.551201484937678</v>
      </c>
      <c r="Z11" s="73">
        <f>+((O36+P36+Q36+R36+S36+T36+U36+V36+W36+X36+Y36+Z36)/(B36+C36+D36+E36+F36+G36+H36+I36+J36+K36+L36+M36))*100-100</f>
        <v>15.654210807120307</v>
      </c>
      <c r="AB11" s="73">
        <f>+AB36/O36*100-100</f>
        <v>-12.265139962967012</v>
      </c>
      <c r="AC11" s="73">
        <f>+((AB36+AC36)/(O36+P36))*100-100</f>
        <v>-15.058661017820725</v>
      </c>
      <c r="AD11" s="73">
        <f>+((AB36+AC36+AD36)/(O36+P36+Q36))*100-100</f>
        <v>-9.9748686423042727</v>
      </c>
      <c r="AE11" s="73">
        <f>+((AB36+AC36+AD36+AE36)/(O36+P36+Q36+R36))*100-100</f>
        <v>-8.1646365124361324</v>
      </c>
      <c r="AF11" s="73">
        <f>+((AB36+AC36+AD36+AE36+AF36)/(O36+P36+Q36+R36+S36))*100-100</f>
        <v>-12.002455825605225</v>
      </c>
      <c r="AG11" s="73">
        <f>+((AB36+AC36+AD36+AE36+AF36+AG36)/(O36+P36+Q36+R36+S36+T36))*100-100</f>
        <v>-12.051521845814534</v>
      </c>
      <c r="AH11" s="73">
        <f>+((AB36+AC36+AD36+AE36+AF36+AG36+AH36)/(O36+P36+Q36+R36+S36+T36+U36))*100-100</f>
        <v>-11.696389246107017</v>
      </c>
      <c r="AI11" s="73">
        <f>+((AB36+AC36+AD36+AE36+AF36+AG36+AH36+AI36)/(O36+P36+Q36+R36+S36+T36+U36+V36))*100-100</f>
        <v>-13.016773135773633</v>
      </c>
      <c r="AJ11" s="73">
        <f>+((AB36+AC36+AD36+AE36+AF36+AG36+AH36+AI36+AJ36)/(O36+P36+Q36+R36+S36+T36+U36+V36+W36))*100-100</f>
        <v>-12.270938492875771</v>
      </c>
      <c r="AK11" s="73">
        <f>+((AB36+AC36+AD36+AE36+AF36+AG36+AH36+AI36+AJ36+AK36)/(O36+P36+Q36+R36+S36+T36+U36+V36+W36+X36))*100-100</f>
        <v>-13.048147289208586</v>
      </c>
      <c r="AL11" s="73">
        <f>+((AB36+AC36+AD36+AE36+AF36+AG36+AH36+AI36+AJ36+AK36+AL36)/(O36+P36+Q36+R36+S36+T36+U36+V36+W36+X36+Y36))*100-100</f>
        <v>-12.833479157303387</v>
      </c>
      <c r="AM11" s="73">
        <f>+((AB36+AC36+AD36+AE36+AF36+AG36+AH36+AI36+AJ36+AK36+AL36+AM36)/(O36+P36+Q36+R36+S36+T36+U36+V36+W36+X36+Y36+Z36))*100-100</f>
        <v>-10.740825453406359</v>
      </c>
      <c r="AN11" s="73"/>
      <c r="AO11" s="73">
        <f>+AO36/AB36*100-100</f>
        <v>24.070355397957272</v>
      </c>
      <c r="AP11" s="73">
        <f>+((AO36+AP36)/(AB36+AC36))*100-100</f>
        <v>24.520907376444853</v>
      </c>
      <c r="AQ11" s="73">
        <f>+((AO36+AP36+AQ36)/(AB36+AC36+AD36))*100-100</f>
        <v>15.805348782886568</v>
      </c>
      <c r="AR11" s="73">
        <f>+((AO36+AP36+AQ36+AR36)/(AB36+AC36+AD36+AE36))*100-100</f>
        <v>17.811851441578327</v>
      </c>
      <c r="AS11" s="73">
        <f>+((AO36+AP36+AQ36+AR36+AS36)/(AB36+AC36+AD36+AE36+AF36))*100-100</f>
        <v>20.593865145232087</v>
      </c>
      <c r="AT11" s="73">
        <f>+((AO36+AP36+AQ36+AR36+AS36+AT36)/(AB36+AC36+AD36+AE36+AF36+AG36))*100-100</f>
        <v>20.184854604943837</v>
      </c>
      <c r="AU11" s="73">
        <f>+((AO36+AP36+AQ36+AR36+AS36+AT36+AU36)/(AB36+AC36+AD36+AE36+AF36+AG36+AH36))*100-100</f>
        <v>20.747007434143214</v>
      </c>
      <c r="AV11" s="73">
        <f>+((AO36+AP36+AQ36+AR36+AS36+AT36+AU36+AV36)/(AB36+AC36+AD36+AE36+AF36+AG36+AH36+AI36))*100-100</f>
        <v>19.833428678489184</v>
      </c>
      <c r="AW11" s="73">
        <f>+((AO36+AP36+AQ36+AR36+AS36+AT36+AU36+AV36+AW36)/(AB36+AC36+AD36+AE36+AF36+AG36+AH36+AI36+AJ36))*100-100</f>
        <v>17.924148096804942</v>
      </c>
      <c r="AX11" s="73">
        <f>+((AO36+AP36+AQ36+AR36+AS36+AT36+AU36+AV36+AW36+AX36)/(AB36+AC36+AD36+AE36+AF36+AG36+AH36+AI36+AJ36+AK36))*100-100</f>
        <v>15.565732471827999</v>
      </c>
      <c r="AY11" s="73">
        <f>+((AO36+AP36+AQ36+AR36+AS36+AT36+AU36+AV36+AW36+AX36+AY36)/(AB36+AC36+AD36+AE36+AF36+AG36+AH36+AI36+AJ36+AK36+AL36))*100-100</f>
        <v>13.508836283369519</v>
      </c>
      <c r="AZ11" s="73">
        <f>+((AO36+AP36+AQ36+AR36+AS36+AT36+AU36+AV36+AW36+AX36+AY36+AZ36)/(AB36+AC36+AD36+AE36+AF36+AG36+AH36+AI36+AJ36+AK36+AL36+AM36))*100-100</f>
        <v>10.559535491894749</v>
      </c>
      <c r="BB11" s="73">
        <f>+BB36/AO36*100-100</f>
        <v>16.53315325288473</v>
      </c>
      <c r="BC11" s="73">
        <f>+((BB36+BC36)/(AO36+AP36))*100-100</f>
        <v>12.49344728531652</v>
      </c>
      <c r="BD11" s="73">
        <f>+((BB36+BC36+BD36)/(AO36+AP36+AQ36))*100-100</f>
        <v>11.372108718849063</v>
      </c>
      <c r="BE11" s="73">
        <f>+((BB36+BC36+BD36+BE36)/(AO36+AP36+AQ36+AR36))*100-100</f>
        <v>10.67005447571465</v>
      </c>
      <c r="BF11" s="73">
        <f>+((BB36+BC36+BD36+BE36+BF36)/(AO36+AP36+AQ36+AR36+AS36))*100-100</f>
        <v>8.9890836041117694</v>
      </c>
      <c r="BG11" s="73">
        <f>+((BB36+BC36+BD36+BE36+BF36+BG36)/(AO36+AP36+AQ36+AR36+AS36+AT36))*100-100</f>
        <v>9.1512822842757942</v>
      </c>
      <c r="BH11" s="73">
        <f>+((BB36+BC36+BD36+BE36+BF36+BG36+BH36)/(AO36+AP36+AQ36+AR36+AS36+AT36+AU36))*100-100</f>
        <v>9.8278817857319325</v>
      </c>
      <c r="BI11" s="73">
        <f>+((BB36+BC36+BD36+BE36+BF36+BG36+BH36+BI36)/(AO36+AP36+AQ36+AR36+AS36+AT36+AU36+AV36))*100-100</f>
        <v>9.6078502503865337</v>
      </c>
      <c r="BJ11" s="73">
        <f>+((BB36+BC36+BD36+BE36+BF36+BG36+BH36+BI36+BJ36)/(AO36+AP36+AQ36+AR36+AS36+AT36+AU36+AV36+AW36))*100-100</f>
        <v>9.6051507701657783</v>
      </c>
      <c r="BK11" s="73">
        <f>+((BB36+BC36+BD36+BE36+BF36+BG36+BH36+BI36+BJ36+BK36)/(AO36+AP36+AQ36+AR36+AS36+AT36+AU36+AV36+AW36+AX36))*100-100</f>
        <v>9.877745553739814</v>
      </c>
      <c r="BL11" s="73">
        <f>+((BB36+BC36+BD36+BE36+BF36+BG36+BH36+BI36+BJ36+BK36+BL36)/(AO36+AP36+AQ36+AR36+AS36+AT36+AU36+AV36+AW36+AX36+AY36))*100-100</f>
        <v>10.336606221934332</v>
      </c>
      <c r="BM11" s="73">
        <f>+((BB36+BC36+BD36+BE36+BF36+BG36+BH36+BI36+BJ36+BK36+BL36+BM36)/(AO36+AP36+AQ36+AR36+AS36+AT36+AU36+AV36+AW36+AX36+AY36+AZ36))*100-100</f>
        <v>13.061079301503199</v>
      </c>
      <c r="BO11" s="73">
        <f t="shared" ref="BO11:BO19" si="0">+BO36/BB36*100-100</f>
        <v>3.1479790671770047</v>
      </c>
      <c r="BP11" s="73">
        <f t="shared" ref="BP11:BP19" si="1">+((BO36+BP36)/(BB36+BC36))*100-100</f>
        <v>3.4246148823857254</v>
      </c>
      <c r="BQ11" s="73">
        <f t="shared" ref="BQ11:BQ19" si="2">+((BO36+BP36+BQ36)/(BB36+BC36+BD36))*100-100</f>
        <v>3.8203552602761306</v>
      </c>
      <c r="BR11" s="73">
        <f t="shared" ref="BR11:BR19" si="3">+((BO36+BP36+BQ36+BR36)/(BB36+BC36+BD36+BE36))*100-100</f>
        <v>2.4625818254921938</v>
      </c>
      <c r="BS11" s="73">
        <f t="shared" ref="BS11:BS19" si="4">+((BO36+BP36+BQ36+BR36+BS36)/(BB36+BC36+BD36+BE36+BF36))*100-100</f>
        <v>5.2997733518935348</v>
      </c>
      <c r="BT11" s="73">
        <f t="shared" ref="BT11:BT19" si="5">+((BO36+BP36+BQ36+BR36+BS36+BT36)/(BB36+BC36+BD36+BE36+BF36+BG36))*100-100</f>
        <v>5.4888807246419731</v>
      </c>
      <c r="BU11" s="73">
        <f t="shared" ref="BU11:BU19" si="6">+((BO36+BP36+BQ36+BR36+BS36+BT36+BU36)/(BB36+BC36+BD36+BE36+BF36+BG36+BH36))*100-100</f>
        <v>4.9428228353399533</v>
      </c>
      <c r="BV11" s="73">
        <f t="shared" ref="BV11:BV19" si="7">+((BO36+BP36+BQ36+BR36+BS36+BT36+BU36+BV36)/(BB36+BC36+BD36+BE36+BF36+BG36+BH36+BI36))*100-100</f>
        <v>6.6568321344832242</v>
      </c>
      <c r="BW11" s="73">
        <f t="shared" ref="BW11:BW19" si="8">+((BO36+BP36+BQ36+BR36+BS36+BT36+BU36+BV36+BW36)/(BB36+BC36+BD36+BE36+BF36+BG36+BH36+BI36+BJ36))*100-100</f>
        <v>7.2211043761428328</v>
      </c>
      <c r="BX11" s="73">
        <f t="shared" ref="BX11:BX19" si="9">+((BO36+BP36+BQ36+BR36+BS36+BT36+BU36+BV36+BW36+BX36)/(BB36+BC36+BD36+BE36+BF36+BG36+BH36+BI36+BJ36+BK36))*100-100</f>
        <v>8.6087115822027584</v>
      </c>
      <c r="BY11" s="73">
        <f t="shared" ref="BY11:BY19" si="10">+((BO36+BP36+BQ36+BR36+BS36+BT36+BU36+BV36+BW36+BX36+BY36)/(BB36+BC36+BD36+BE36+BF36+BG36+BH36+BI36+BJ36+BK36+BL36))*100-100</f>
        <v>10.532439572751457</v>
      </c>
      <c r="BZ11" s="73">
        <f t="shared" ref="BZ11:BZ19" si="11">+((BO36+BP36+BQ36+BR36+BS36+BT36+BU36+BV36+BW36+BX36+BY36+BZ36)/(BB36+BC36+BD36+BE36+BF36+BG36+BH36+BI36+BJ36+BK36+BL36+BM36))*100-100</f>
        <v>10.428039685089189</v>
      </c>
      <c r="CB11" s="244">
        <f t="shared" ref="CB11:CB19" si="12">+CB36/BO36*100-100</f>
        <v>26.036554271388198</v>
      </c>
      <c r="CC11" s="244">
        <f t="shared" ref="CC11:CC19" si="13">+((CB36+CC36)/(BO36+BP36))*100-100</f>
        <v>30.341928064526797</v>
      </c>
      <c r="CD11" s="244">
        <f t="shared" ref="CD11:CD19" si="14">+((CB36+CC36+CD36)/(BO36+BP36+BQ36))*100-100</f>
        <v>25.048489948069033</v>
      </c>
      <c r="CE11" s="244">
        <f t="shared" ref="CE11:CE19" si="15">+((CB36+CC36+CD36+CE36)/(BO36+BP36+BQ36+BR36))*100-100</f>
        <v>25.000399381103165</v>
      </c>
      <c r="CF11" s="244">
        <f t="shared" ref="CF11:CF19" si="16">+((CB36+CC36+CD36+CE36+CF36)/(BO36+BP36+BQ36+BR36+BS36))*100-100</f>
        <v>20.756609186394456</v>
      </c>
      <c r="CG11" s="244">
        <f t="shared" ref="CG11:CG19" si="17">+((CB36+CC36+CD36+CE36+CF36+CG36)/(BO36+BP36+BQ36+BR36+BS36+BT36))*100-100</f>
        <v>21.36946308252503</v>
      </c>
      <c r="CH11" s="244">
        <f t="shared" ref="CH11:CH19" si="18">+((CB36+CC36+CD36+CE36+CF36+CG36+CH36)/(BO36+BP36+BQ36+BR36+BS36+BT36+BU36))*100-100</f>
        <v>20.600593907548514</v>
      </c>
      <c r="CI11" s="244">
        <f t="shared" ref="CI11:CI19" si="19">+((CB36+CC36+CD36+CE36+CF36+CG36+CH36+CI36)/(BO36+BP36+BQ36+BR36+BS36+BT36+BU36+BV36))*100-100</f>
        <v>19.125772717262763</v>
      </c>
      <c r="CJ11" s="244">
        <f t="shared" ref="CJ11:CJ19" si="20">+((CB36+CC36+CD36+CE36+CF36+CG36+CH36+CI36+CJ36)/(BO36+BP36+BQ36+BR36+BS36+BT36+BU36+BV36+BW36))*100-100</f>
        <v>18.678097914904072</v>
      </c>
      <c r="CK11" s="244">
        <f>+((CB36+CC36+CD36+CE36+CF36+CG36+CH36+CI36+CJ36+CK36)/(BO36+BP36+BQ36+BR36+BS36+BT36+BU36+BV36+BW36+BX36))*100-100</f>
        <v>17.161116157136973</v>
      </c>
      <c r="CL11" s="244">
        <f>+((CB36+CC36+CD36+CE36+CF36+CG36+CH36+CI36+CJ36+CK36+CL36)/(BO36+BP36+BQ36+BR36+BS36+BT36+BU36+BV36+BW36+BX36+BY36))*100-100</f>
        <v>15.489094951750843</v>
      </c>
      <c r="CM11" s="244">
        <f>+((CB36+CC36+CD36+CE36+CF36+CG36+CH36+CI36+CJ36+CK36+CL36+CM36)/(BO36+BP36+BQ36+BR36+BS36+BT36+BU36+BV36+BW36+BX36+BY36+BZ36))*100-100</f>
        <v>14.106596271028323</v>
      </c>
      <c r="CN11" s="203"/>
      <c r="CO11" s="244">
        <f t="shared" ref="CO11:CO19" si="21">+CO36/CB36*100-100</f>
        <v>3.1162706439838814</v>
      </c>
      <c r="CP11" s="244">
        <f t="shared" ref="CP11:CP19" si="22">+((CO36+CP36)/(CB36+CC36))*100-100</f>
        <v>0.5443185373025301</v>
      </c>
      <c r="CQ11" s="244">
        <f>+((CO36+CP36+CQ36)/(CB36+CC36+CD36))*100-100</f>
        <v>0.61408834286955027</v>
      </c>
      <c r="CR11" s="244">
        <f>+((CO36+CP36+CQ36+CR36)/(CB36+CC36+CD36+CE36))*100-100</f>
        <v>1.2657385747115342</v>
      </c>
      <c r="CS11" s="244">
        <f>+((CO36+CP36+CQ36+CR36+CS36)/(CB36+CC36+CD36+CE36+CF36))*100-100</f>
        <v>3.3273698388904762</v>
      </c>
      <c r="CT11" s="244">
        <f>+((CO36+CP36+CQ36+CR36+CS36+CT36)/(CB36+CC36+CD36+CE36+CF36+CG36))*100-100</f>
        <v>3.0131119402953885</v>
      </c>
      <c r="CU11" s="244">
        <f>+((CO36+CP36+CQ36+CR36+CS36+CT36+CU36)/(CB36+CC36+CD36+CE36+CF36+CG36+CH36))*100-100</f>
        <v>2.2045655981603858</v>
      </c>
      <c r="CV11" s="244">
        <f>+((CO36+CP36+CQ36+CR36+CS36+CT36+CU36+CV36)/(CB36+CC36+CD36+CE36+CF36+CG36+CH36+CI36))*100-100</f>
        <v>2.4331829975798485</v>
      </c>
      <c r="CW11" s="244">
        <f>+((CO36+CP36+CQ36+CR36+CS36+CT36+CU36+CV36+CW36)/(CB36+CC36+CD36+CE36+CF36+CG36+CH36+CI36+CJ36))*100-100</f>
        <v>3.3981324582924515</v>
      </c>
      <c r="CX11" s="244">
        <f>+((CO36+CP36+CQ36+CR36+CS36+CT36+CU36+CV36+CW36+CX36)/(CB36+CC36+CD36+CE36+CF36+CG36+CH36+CI36+CJ36+CK36))*100-100</f>
        <v>5.2271339715051113</v>
      </c>
      <c r="CY11" s="244">
        <f>+((CO36+CP36+CQ36+CR36+CS36+CT36+CU36+CV36+CW36+CX36+CY36)/(CB36+CC36+CD36+CE36+CF36+CG36+CH36+CI36+CJ36+CK36+CL36))*100-100</f>
        <v>4.8376373385985687</v>
      </c>
      <c r="CZ11" s="244">
        <f>+((CO36+CP36+CQ36+CR36+CS36+CT36+CU36+CV36+CW36+CX36+CY36+CZ36)/(CB36+CC36+CD36+CE36+CF36+CG36+CH36+CI36+CJ36+CK36+CL36+CM36))*100-100</f>
        <v>4.8697686810464944</v>
      </c>
      <c r="DB11" s="244">
        <f t="shared" ref="DB11:DB19" si="23">+DB36/CO36*100-100</f>
        <v>0.46872039007810429</v>
      </c>
      <c r="DC11" s="244">
        <f t="shared" ref="DC11:DC19" si="24">+((DB36+DC36)/(CO36+CP36))*100-100</f>
        <v>-0.87274743707898494</v>
      </c>
      <c r="DD11" s="244">
        <f>+((DB36+DC36+DD36)/(CO36+CP36+CQ36))*100-100</f>
        <v>4.7525687810039869</v>
      </c>
      <c r="DE11" s="244">
        <f>+((DB36+DC36+DD36+DE36)/(CO36+CP36+CQ36+CR36))*100-100</f>
        <v>3.1369830588518823</v>
      </c>
      <c r="DF11" s="244">
        <f>+((DB36+DC36+DD36+DE36+DF36)/(CO36+CP36+CQ36+CR36+CS36))*100-100</f>
        <v>1.8926176045294767</v>
      </c>
      <c r="DG11" s="244">
        <f>+((DB36+DC36+DD36+DE36+DF36+DG36)/(CO36+CP36+CQ36+CR36+CS36+CT36))*100-100</f>
        <v>1.5234851852099212</v>
      </c>
      <c r="DH11" s="244">
        <f>+((DB36+DC36+DD36+DE36+DF36+DG36+DH36)/(CO36+CP36+CQ36+CR36+CS36+CT36+CU36))*100-100</f>
        <v>1.625838575327748</v>
      </c>
      <c r="DI11" s="244">
        <f>+((DB36+DC36+DD36+DE36+DF36+DG36+DH36+DI36)/(CO36+CP36+CQ36+CR36+CS36+CT36+CU36+CV36))*100-100</f>
        <v>3.0252048290925444</v>
      </c>
      <c r="DJ11" s="244">
        <f>+((DB36+DC36+DD36+DE36+DF36+DG36+DH36+DI36+DJ36)/(CO36+CP36+CQ36+CR36+CS36+CT36+CU36+CV36+CW36))*100-100</f>
        <v>2.324618479680197</v>
      </c>
      <c r="DK11" s="244">
        <f>+((DB36+DC36+DD36+DE36+DF36+DG36+DH36+DI36+DJ36+DK36)/(CO36+CP36+CQ36+CR36+CS36+CT36+CU36+CV36+CW36+CX36))*100-100</f>
        <v>1.0027562437037432</v>
      </c>
      <c r="DL11" s="244">
        <f>+((DB36+DC36+DD36+DE36+DF36+DG36+DH36+DI36+DJ36+DK36+DL36)/(CO36+CP36+CQ36+CR36+CS36+CT36+CU36+CV36+CW36+CX36+CY36))*100-100</f>
        <v>2.1667833185031355</v>
      </c>
      <c r="DM11" s="244">
        <f>+((DB36+DC36+DD36+DE36+DF36+DG36+DH36+DI36+DJ36+DK36+DL36+DM36)/(CO36+CP36+CQ36+CR36+CS36+CT36+CU36+CV36+CW36+CX36+CY36+CZ36))*100-100</f>
        <v>1.795225653168302</v>
      </c>
      <c r="DO11" s="244">
        <f t="shared" ref="DO11:DO18" si="25">+DO36/DB36*100-100</f>
        <v>-1.0862730839592558</v>
      </c>
      <c r="DP11" s="244">
        <f t="shared" ref="DP11:DP19" si="26">+((DO36+DP36)/(DB36+DC36))*100-100</f>
        <v>2.1310851116589618</v>
      </c>
      <c r="DQ11" s="244">
        <f>+((DO36+DP36+DQ36)/(DB36+DC36+DD36))*100-100</f>
        <v>0.673464480978609</v>
      </c>
      <c r="DR11" s="244">
        <f>+((DO36+DP36+DQ36+DR36)/(DB36+DC36+DD36+DE36))*100-100</f>
        <v>1.2738924751016754</v>
      </c>
      <c r="DS11" s="244">
        <f>+((DO36+DP36+DQ36+DR36+DS36)/(DB36+DC36+DD36+DE36+DF36))*100-100</f>
        <v>1.8616640248252594</v>
      </c>
      <c r="DT11" s="244">
        <f>+((DO36+DP36+DQ36+DR36+DS36+DT36)/(DB36+DC36+DD36+DE36+DF36+DG36))*100-100</f>
        <v>1.1643581554624944</v>
      </c>
      <c r="DU11" s="244">
        <f>+((DO36+DP36+DQ36+DR36+DS36+DT36+DU36)/(DB36+DC36+DD36+DE36+DF36+DG36+DH36))*100-100</f>
        <v>-0.2576750737947151</v>
      </c>
      <c r="DV11" s="244">
        <f>+((DO36+DP36+DQ36+DR36+DS36+DT36+DU36+DV36)/(DB36+DC36+DD36+DE36+DF36+DG36+DH36+DI36))*100-100</f>
        <v>-1.057234354694387</v>
      </c>
      <c r="DW11" s="244">
        <f>+((DO36+DP36+DQ36+DR36+DS36+DT36+DU36+DV36+DW36)/(DB36+DC36+DD36+DE36+DF36+DG36+DH36+DI36+DJ36))*100-100</f>
        <v>-0.53721361404291201</v>
      </c>
      <c r="DX11" s="244">
        <f>+((DO36+DP36+DQ36+DR36+DS36+DT36+DU36+DV36+DW36+DX36)/(DB36+DC36+DD36+DE36+DF36+DG36+DH36+DI36+DJ36+DK36))*100-100</f>
        <v>-0.9339144303975786</v>
      </c>
      <c r="DY11" s="244">
        <f>+((DO36+DP36+DQ36+DR36+DS36+DT36+DU36+DV36+DW36+DX36+DY36)/(DB36+DC36+DD36+DE36+DF36+DG36+DH36+DI36+DJ36+DK36+DL36))*100-100</f>
        <v>-1.2452775305438735</v>
      </c>
      <c r="DZ11" s="244">
        <f>+((DO36+DP36+DQ36+DR36+DS36+DT36+DU36+DV36+DW36+DX36+DY36+DZ36)/(DB36+DC36+DD36+DE36+DF36+DG36+DH36+DI36+DJ36+DK36+DL36+DM36))*100-100</f>
        <v>0.521809760681478</v>
      </c>
      <c r="EB11" s="244">
        <f t="shared" ref="EB11:EB18" si="27">+EB36/DO36*100-100</f>
        <v>7.0949381144622521</v>
      </c>
      <c r="EC11" s="244">
        <f t="shared" ref="EC11:EC19" si="28">+((EB36+EC36)/(DO36+DP36))*100-100</f>
        <v>5.2228166963555083</v>
      </c>
      <c r="ED11" s="244">
        <f>+((EB36+EC36+ED36)/(DO36+DP36+DQ36))*100-100</f>
        <v>6.3783295437589231</v>
      </c>
      <c r="EE11" s="244">
        <f>+((EB36+EC36+ED36+EE36)/(DO36+DP36+DQ36+DR36))*100-100</f>
        <v>8.4261924962206507</v>
      </c>
      <c r="EF11" s="244">
        <f>+((EB36+EC36+ED36+EE36+EF36)/(DO36+DP36+DQ36+DR36+DS36))*100-100</f>
        <v>7.4530222486102815</v>
      </c>
      <c r="EG11" s="244">
        <f>+((EB36+EC36+ED36+EE36+EF36+EG36)/(DO36+DP36+DQ36+DR36+DS36+DT36))*100-100</f>
        <v>7.3480178563523708</v>
      </c>
      <c r="EH11" s="244">
        <f>+((EB36+EC36+ED36+EE36+EF36+EG36+EH36)/(DO36+DP36+DQ36+DR36+DS36+DT36+DU36))*100-100</f>
        <v>-8.1989929879823222</v>
      </c>
      <c r="EI11" s="244">
        <f>+((EB36+EC36+ED36+EE36+EF36+EG36+EH36+EI36)/(DO36+DP36+DQ36+DR36+DS36+DT36+DU36+DV36))*100-100</f>
        <v>-20.79177519782742</v>
      </c>
      <c r="EJ11" s="244">
        <f>+((EB36+EC36+ED36+EE36+EF36+EG36+EH36+EI36+EJ36)/(DO36+DP36+DQ36+DR36+DS36+DT36+DU36+DV36+DW36))*100-100</f>
        <v>-30.279563812647197</v>
      </c>
      <c r="EK11" s="244">
        <f>+((EB36+EC36+ED36+EE36+EF36+EG36+EH36+EI36+EJ36+EK36)/(DO36+DP36+DQ36+DR36+DS36+DT36+DU36+DV36+DW36+DX36))*100-100</f>
        <v>-37.24919658325053</v>
      </c>
      <c r="EL11" s="244">
        <f>+((EB36+EC36+ED36+EE36+EF36+EG36+EH36+EI36+EJ36+EK36+EL36)/(DO36+DP36+DQ36+DR36+DS36+DT36+DU36+DV36+DW36+DX36+DY36))*100-100</f>
        <v>-43.424314678779943</v>
      </c>
      <c r="EM11" s="244">
        <f>+((EB36+EC36+ED36+EE36+EF36+EG36+EH36+EI36+EJ36+EK36+EL36+EM36)/(DO36+DP36+DQ36+DR36+DS36+DT36+DU36+DV36+DW36+DX36+DY36+DZ36))*100-100</f>
        <v>-49.431143827008817</v>
      </c>
    </row>
    <row r="12" spans="1:143">
      <c r="A12" s="75" t="s">
        <v>90</v>
      </c>
      <c r="B12" s="73"/>
      <c r="C12" s="73"/>
      <c r="D12" s="73"/>
      <c r="E12" s="73"/>
      <c r="F12" s="73"/>
      <c r="G12" s="73"/>
      <c r="H12" s="73"/>
      <c r="I12" s="73"/>
      <c r="J12" s="73"/>
      <c r="K12" s="73"/>
      <c r="L12" s="73"/>
      <c r="M12" s="79"/>
      <c r="O12" s="73"/>
      <c r="P12" s="73"/>
      <c r="Q12" s="73"/>
      <c r="R12" s="73"/>
      <c r="S12" s="73"/>
      <c r="T12" s="73"/>
      <c r="U12" s="73"/>
      <c r="V12" s="73"/>
      <c r="W12" s="73"/>
      <c r="X12" s="73"/>
      <c r="Y12" s="73"/>
      <c r="Z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B12" s="73"/>
      <c r="BC12" s="73"/>
      <c r="BD12" s="73"/>
      <c r="BE12" s="73"/>
      <c r="BF12" s="73"/>
      <c r="BG12" s="73"/>
      <c r="BH12" s="73"/>
      <c r="BI12" s="73"/>
      <c r="BJ12" s="73"/>
      <c r="BK12" s="73"/>
      <c r="BL12" s="73"/>
      <c r="BM12" s="73"/>
      <c r="BO12" s="73">
        <f t="shared" si="0"/>
        <v>4.5994990105370732</v>
      </c>
      <c r="BP12" s="73">
        <f t="shared" si="1"/>
        <v>3.7293712994033683</v>
      </c>
      <c r="BQ12" s="73">
        <f t="shared" si="2"/>
        <v>4.0870571998563179</v>
      </c>
      <c r="BR12" s="73">
        <f t="shared" si="3"/>
        <v>2.729116901322854</v>
      </c>
      <c r="BS12" s="73">
        <f t="shared" si="4"/>
        <v>5.3644750490859963</v>
      </c>
      <c r="BT12" s="73">
        <f t="shared" si="5"/>
        <v>6.2418832004692746</v>
      </c>
      <c r="BU12" s="73">
        <f t="shared" si="6"/>
        <v>7.7861994859202781</v>
      </c>
      <c r="BV12" s="73">
        <f t="shared" si="7"/>
        <v>8.8849080872405608</v>
      </c>
      <c r="BW12" s="73">
        <f t="shared" si="8"/>
        <v>9.1481633290527498</v>
      </c>
      <c r="BX12" s="73">
        <f t="shared" si="9"/>
        <v>10.413504696306845</v>
      </c>
      <c r="BY12" s="73">
        <f t="shared" si="10"/>
        <v>12.00646663616773</v>
      </c>
      <c r="BZ12" s="73">
        <f t="shared" si="11"/>
        <v>13.203615668198125</v>
      </c>
      <c r="CB12" s="244">
        <f t="shared" si="12"/>
        <v>26.636916936942285</v>
      </c>
      <c r="CC12" s="244">
        <f t="shared" si="13"/>
        <v>30.479627520884861</v>
      </c>
      <c r="CD12" s="244">
        <f t="shared" si="14"/>
        <v>24.591307267316395</v>
      </c>
      <c r="CE12" s="244">
        <f t="shared" si="15"/>
        <v>24.72978115432494</v>
      </c>
      <c r="CF12" s="244">
        <f t="shared" si="16"/>
        <v>20.721165573056254</v>
      </c>
      <c r="CG12" s="244">
        <f t="shared" si="17"/>
        <v>21.409430567215708</v>
      </c>
      <c r="CH12" s="244">
        <f t="shared" si="18"/>
        <v>19.818371746212122</v>
      </c>
      <c r="CI12" s="244">
        <f t="shared" si="19"/>
        <v>18.791420940193774</v>
      </c>
      <c r="CJ12" s="244">
        <f t="shared" si="20"/>
        <v>18.35267615143465</v>
      </c>
      <c r="CK12" s="244">
        <f t="shared" ref="CK12:CK19" si="29">+((CB37+CC37+CD37+CE37+CF37+CG37+CH37+CI37+CJ37+CK37)/(BO37+BP37+BQ37+BR37+BS37+BT37+BU37+BV37+BW37+BX37))*100-100</f>
        <v>16.930531151186131</v>
      </c>
      <c r="CL12" s="244">
        <f t="shared" ref="CL12:CL19" si="30">+((CB37+CC37+CD37+CE37+CF37+CG37+CH37+CI37+CJ37+CK37+CL37)/(BO37+BP37+BQ37+BR37+BS37+BT37+BU37+BV37+BW37+BX37+BY37))*100-100</f>
        <v>15.458724654558821</v>
      </c>
      <c r="CM12" s="244">
        <f t="shared" ref="CM12:CM19" si="31">+((CB37+CC37+CD37+CE37+CF37+CG37+CH37+CI37+CJ37+CK37+CL37+CM37)/(BO37+BP37+BQ37+BR37+BS37+BT37+BU37+BV37+BW37+BX37+BY37+BZ37))*100-100</f>
        <v>14.30568985127681</v>
      </c>
      <c r="CN12" s="203"/>
      <c r="CO12" s="244">
        <f t="shared" si="21"/>
        <v>-0.98393826169342447</v>
      </c>
      <c r="CP12" s="244">
        <f t="shared" si="22"/>
        <v>-1.9889235755127856</v>
      </c>
      <c r="CQ12" s="244">
        <f t="shared" ref="CQ12:CQ19" si="32">+((CO37+CP37+CQ37)/(CB37+CC37+CD37))*100-100</f>
        <v>-1.0924790201685965</v>
      </c>
      <c r="CR12" s="244">
        <f t="shared" ref="CR12:CR19" si="33">+((CO37+CP37+CQ37+CR37)/(CB37+CC37+CD37+CE37))*100-100</f>
        <v>0.41073811805185301</v>
      </c>
      <c r="CS12" s="244">
        <f t="shared" ref="CS12:CS19" si="34">+((CO37+CP37+CQ37+CR37+CS37)/(CB37+CC37+CD37+CE37+CF37))*100-100</f>
        <v>2.7000679774735801</v>
      </c>
      <c r="CT12" s="244">
        <f t="shared" ref="CT12:CT19" si="35">+((CO37+CP37+CQ37+CR37+CS37+CT37)/(CB37+CC37+CD37+CE37+CF37+CG37))*100-100</f>
        <v>2.6428064701446345</v>
      </c>
      <c r="CU12" s="244">
        <f t="shared" ref="CU12:CU19" si="36">+((CO37+CP37+CQ37+CR37+CS37+CT37+CU37)/(CB37+CC37+CD37+CE37+CF37+CG37+CH37))*100-100</f>
        <v>2.6257064578129246</v>
      </c>
      <c r="CV12" s="244">
        <f t="shared" ref="CV12:CV19" si="37">+((CO37+CP37+CQ37+CR37+CS37+CT37+CU37+CV37)/(CB37+CC37+CD37+CE37+CF37+CG37+CH37+CI37))*100-100</f>
        <v>2.866332520547374</v>
      </c>
      <c r="CW12" s="244">
        <f t="shared" ref="CW12:CW19" si="38">+((CO37+CP37+CQ37+CR37+CS37+CT37+CU37+CV37+CW37)/(CB37+CC37+CD37+CE37+CF37+CG37+CH37+CI37+CJ37))*100-100</f>
        <v>3.6519138163052531</v>
      </c>
      <c r="CX12" s="244">
        <f t="shared" ref="CX12:CX19" si="39">+((CO37+CP37+CQ37+CR37+CS37+CT37+CU37+CV37+CW37+CX37)/(CB37+CC37+CD37+CE37+CF37+CG37+CH37+CI37+CJ37+CK37))*100-100</f>
        <v>5.6131513636763941</v>
      </c>
      <c r="CY12" s="244">
        <f t="shared" ref="CY12:CY19" si="40">+((CO37+CP37+CQ37+CR37+CS37+CT37+CU37+CV37+CW37+CX37+CY37)/(CB37+CC37+CD37+CE37+CF37+CG37+CH37+CI37+CJ37+CK37+CL37))*100-100</f>
        <v>5.2680025474699761</v>
      </c>
      <c r="CZ12" s="244">
        <f t="shared" ref="CZ12:CZ19" si="41">+((CO37+CP37+CQ37+CR37+CS37+CT37+CU37+CV37+CW37+CX37+CY37+CZ37)/(CB37+CC37+CD37+CE37+CF37+CG37+CH37+CI37+CJ37+CK37+CL37+CM37))*100-100</f>
        <v>5.0007518511509801</v>
      </c>
      <c r="DB12" s="244">
        <f t="shared" si="23"/>
        <v>6.5204445311073158</v>
      </c>
      <c r="DC12" s="244">
        <f t="shared" si="24"/>
        <v>2.6149464710691745</v>
      </c>
      <c r="DD12" s="244">
        <f t="shared" ref="DD12:DD19" si="42">+((DB37+DC37+DD37)/(CO37+CP37+CQ37))*100-100</f>
        <v>4.9836641527058845</v>
      </c>
      <c r="DE12" s="244">
        <f t="shared" ref="DE12:DE19" si="43">+((DB37+DC37+DD37+DE37)/(CO37+CP37+CQ37+CR37))*100-100</f>
        <v>2.8282025844722796</v>
      </c>
      <c r="DF12" s="244">
        <f t="shared" ref="DF12:DF19" si="44">+((DB37+DC37+DD37+DE37+DF37)/(CO37+CP37+CQ37+CR37+CS37))*100-100</f>
        <v>1.3434256903643416</v>
      </c>
      <c r="DG12" s="244">
        <f t="shared" ref="DG12:DG19" si="45">+((DB37+DC37+DD37+DE37+DF37+DG37)/(CO37+CP37+CQ37+CR37+CS37+CT37))*100-100</f>
        <v>0.93652497789101119</v>
      </c>
      <c r="DH12" s="244">
        <f t="shared" ref="DH12:DH19" si="46">+((DB37+DC37+DD37+DE37+DF37+DG37+DH37)/(CO37+CP37+CQ37+CR37+CS37+CT37+CU37))*100-100</f>
        <v>-4.4365334832050962E-2</v>
      </c>
      <c r="DI12" s="244">
        <f t="shared" ref="DI12:DI19" si="47">+((DB37+DC37+DD37+DE37+DF37+DG37+DH37+DI37)/(CO37+CP37+CQ37+CR37+CS37+CT37+CU37+CV37))*100-100</f>
        <v>1.5255477821180392</v>
      </c>
      <c r="DJ12" s="244">
        <f t="shared" ref="DJ12:DJ19" si="48">+((DB37+DC37+DD37+DE37+DF37+DG37+DH37+DI37+DJ37)/(CO37+CP37+CQ37+CR37+CS37+CT37+CU37+CV37+CW37))*100-100</f>
        <v>0.92484738855841897</v>
      </c>
      <c r="DK12" s="244">
        <f t="shared" ref="DK12:DK19" si="49">+((DB37+DC37+DD37+DE37+DF37+DG37+DH37+DI37+DJ37+DK37)/(CO37+CP37+CQ37+CR37+CS37+CT37+CU37+CV37+CW37+CX37))*100-100</f>
        <v>-0.36532411345237392</v>
      </c>
      <c r="DL12" s="244">
        <f t="shared" ref="DL12:DL19" si="50">+((DB37+DC37+DD37+DE37+DF37+DG37+DH37+DI37+DJ37+DK37+DL37)/(CO37+CP37+CQ37+CR37+CS37+CT37+CU37+CV37+CW37+CX37+CY37))*100-100</f>
        <v>0.13449057345862059</v>
      </c>
      <c r="DM12" s="244">
        <f t="shared" ref="DM12:DM19" si="51">+((DB37+DC37+DD37+DE37+DF37+DG37+DH37+DI37+DJ37+DK37+DL37+DM37)/(CO37+CP37+CQ37+CR37+CS37+CT37+CU37+CV37+CW37+CX37+CY37+CZ37))*100-100</f>
        <v>-0.12884687658836924</v>
      </c>
      <c r="DO12" s="244">
        <f t="shared" si="25"/>
        <v>-0.5115419014577185</v>
      </c>
      <c r="DP12" s="244">
        <f t="shared" si="26"/>
        <v>-1.2182799182780002</v>
      </c>
      <c r="DQ12" s="244">
        <f t="shared" ref="DQ12:DQ19" si="52">+((DO37+DP37+DQ37)/(DB37+DC37+DD37))*100-100</f>
        <v>-0.81539495967379594</v>
      </c>
      <c r="DR12" s="244">
        <f t="shared" ref="DR12:DR19" si="53">+((DO37+DP37+DQ37+DR37)/(DB37+DC37+DD37+DE37))*100-100</f>
        <v>0.55385813640364745</v>
      </c>
      <c r="DS12" s="244">
        <f t="shared" ref="DS12:DS19" si="54">+((DO37+DP37+DQ37+DR37+DS37)/(DB37+DC37+DD37+DE37+DF37))*100-100</f>
        <v>1.6262471202010715</v>
      </c>
      <c r="DT12" s="244">
        <f t="shared" ref="DT12:DT19" si="55">+((DO37+DP37+DQ37+DR37+DS37+DT37)/(DB37+DC37+DD37+DE37+DF37+DG37))*100-100</f>
        <v>1.0028561003768317</v>
      </c>
      <c r="DU12" s="244">
        <f t="shared" ref="DU12:DU19" si="56">+((DO37+DP37+DQ37+DR37+DS37+DT37+DU37)/(DB37+DC37+DD37+DE37+DF37+DG37+DH37))*100-100</f>
        <v>0.76631122804535323</v>
      </c>
      <c r="DV12" s="244">
        <f t="shared" ref="DV12:DV19" si="57">+((DO37+DP37+DQ37+DR37+DS37+DT37+DU37+DV37)/(DB37+DC37+DD37+DE37+DF37+DG37+DH37+DI37))*100-100</f>
        <v>-0.53808677625009693</v>
      </c>
      <c r="DW12" s="244">
        <f t="shared" ref="DW12:DW19" si="58">+((DO37+DP37+DQ37+DR37+DS37+DT37+DU37+DV37+DW37)/(DB37+DC37+DD37+DE37+DF37+DG37+DH37+DI37+DJ37))*100-100</f>
        <v>-0.60380917005667811</v>
      </c>
      <c r="DX12" s="244">
        <f t="shared" ref="DX12:DX19" si="59">+((DO37+DP37+DQ37+DR37+DS37+DT37+DU37+DV37+DW37+DX37)/(DB37+DC37+DD37+DE37+DF37+DG37+DH37+DI37+DJ37+DK37))*100-100</f>
        <v>-0.87682847729058722</v>
      </c>
      <c r="DY12" s="244">
        <f t="shared" ref="DY12:DY19" si="60">+((DO37+DP37+DQ37+DR37+DS37+DT37+DU37+DV37+DW37+DX37+DY37)/(DB37+DC37+DD37+DE37+DF37+DG37+DH37+DI37+DJ37+DK37+DL37))*100-100</f>
        <v>-0.66107127101685137</v>
      </c>
      <c r="DZ12" s="244">
        <f t="shared" ref="DZ12:DZ19" si="61">+((DO37+DP37+DQ37+DR37+DS37+DT37+DU37+DV37+DW37+DX37+DY37+DZ37)/(DB37+DC37+DD37+DE37+DF37+DG37+DH37+DI37+DJ37+DK37+DL37+DM37))*100-100</f>
        <v>0.75232341003150793</v>
      </c>
      <c r="EB12" s="244">
        <f t="shared" si="27"/>
        <v>5.1283046240538681</v>
      </c>
      <c r="EC12" s="244">
        <f t="shared" si="28"/>
        <v>7.8660914990948783</v>
      </c>
      <c r="ED12" s="244">
        <f t="shared" ref="ED12:ED19" si="62">+((EB37+EC37+ED37)/(DO37+DP37+DQ37))*100-100</f>
        <v>9.1033398433895343</v>
      </c>
      <c r="EE12" s="244">
        <f t="shared" ref="EE12:EE19" si="63">+((EB37+EC37+ED37+EE37)/(DO37+DP37+DQ37+DR37))*100-100</f>
        <v>10.310804020586218</v>
      </c>
      <c r="EF12" s="244">
        <f t="shared" ref="EF12:EF19" si="64">+((EB37+EC37+ED37+EE37+EF37)/(DO37+DP37+DQ37+DR37+DS37))*100-100</f>
        <v>8.8565617786384507</v>
      </c>
      <c r="EG12" s="244">
        <f t="shared" ref="EG12:EG19" si="65">+((EB37+EC37+ED37+EE37+EF37+EG37)/(DO37+DP37+DQ37+DR37+DS37+DT37))*100-100</f>
        <v>8.6635994566859722</v>
      </c>
      <c r="EH12" s="244">
        <f t="shared" ref="EH12:EH19" si="66">+((EB37+EC37+ED37+EE37+EF37+EG37+EH37)/(DO37+DP37+DQ37+DR37+DS37+DT37+DU37))*100-100</f>
        <v>-7.3353362975175003</v>
      </c>
      <c r="EI12" s="244">
        <f t="shared" ref="EI12:EI19" si="67">+((EB37+EC37+ED37+EE37+EF37+EG37+EH37+EI37)/(DO37+DP37+DQ37+DR37+DS37+DT37+DU37+DV37))*100-100</f>
        <v>-19.992440119247263</v>
      </c>
      <c r="EJ12" s="244">
        <f t="shared" ref="EJ12:EJ19" si="68">+((EB37+EC37+ED37+EE37+EF37+EG37+EH37+EI37+EJ37)/(DO37+DP37+DQ37+DR37+DS37+DT37+DU37+DV37+DW37))*100-100</f>
        <v>-29.186740169032177</v>
      </c>
      <c r="EK12" s="244">
        <f t="shared" ref="EK12:EK19" si="69">+((EB37+EC37+ED37+EE37+EF37+EG37+EH37+EI37+EJ37+EK37)/(DO37+DP37+DQ37+DR37+DS37+DT37+DU37+DV37+DW37+DX37))*100-100</f>
        <v>-36.447312241231032</v>
      </c>
      <c r="EL12" s="244">
        <f t="shared" ref="EL12:EL19" si="70">+((EB37+EC37+ED37+EE37+EF37+EG37+EH37+EI37+EJ37+EK37+EL37)/(DO37+DP37+DQ37+DR37+DS37+DT37+DU37+DV37+DW37+DX37+DY37))*100-100</f>
        <v>-42.712961530863026</v>
      </c>
      <c r="EM12" s="244">
        <f t="shared" ref="EM12:EM19" si="71">+((EB37+EC37+ED37+EE37+EF37+EG37+EH37+EI37+EJ37+EK37+EL37+EM37)/(DO37+DP37+DQ37+DR37+DS37+DT37+DU37+DV37+DW37+DX37+DY37+DZ37))*100-100</f>
        <v>-48.23984909152901</v>
      </c>
    </row>
    <row r="13" spans="1:143">
      <c r="A13" s="77" t="s">
        <v>6</v>
      </c>
      <c r="B13" s="73">
        <v>20.952951026705868</v>
      </c>
      <c r="C13" s="73">
        <v>24.684809139872698</v>
      </c>
      <c r="D13" s="73">
        <v>26.375506592644292</v>
      </c>
      <c r="E13" s="73">
        <v>23.528069324554622</v>
      </c>
      <c r="F13" s="73">
        <v>22.343183486668529</v>
      </c>
      <c r="G13" s="73">
        <v>25.074618412453642</v>
      </c>
      <c r="H13" s="73">
        <v>24.960926994414944</v>
      </c>
      <c r="I13" s="73">
        <v>26.692922253329264</v>
      </c>
      <c r="J13" s="73">
        <v>27.315280636229634</v>
      </c>
      <c r="K13" s="73">
        <v>28.830397823537488</v>
      </c>
      <c r="L13" s="73">
        <v>32.473277185895057</v>
      </c>
      <c r="M13" s="73">
        <v>31.390641112692876</v>
      </c>
      <c r="O13" s="73">
        <f t="shared" ref="O13:O19" si="72">+O38/B38*100-100</f>
        <v>25.738639478156003</v>
      </c>
      <c r="P13" s="73">
        <f t="shared" ref="P13:P19" si="73">+((O38+P38)/(B38+C38))*100-100</f>
        <v>25.379070942296551</v>
      </c>
      <c r="Q13" s="73">
        <f t="shared" ref="Q13:Q19" si="74">+((O38+P38+Q38)/(B38+C38+D38))*100-100</f>
        <v>30.803929603451451</v>
      </c>
      <c r="R13" s="73">
        <f t="shared" ref="R13:R19" si="75">+((O38+P38+Q38+R38)/(B38+C38+D38+E38))*100-100</f>
        <v>28.198206916094648</v>
      </c>
      <c r="S13" s="73">
        <f t="shared" ref="S13:S19" si="76">+((O38+P38+Q38+R38+S38)/(B38+C38+D38+E38+F38))*100-100</f>
        <v>32.347481443349523</v>
      </c>
      <c r="T13" s="73">
        <f t="shared" ref="T13:T19" si="77">+((O38+P38+Q38+R38+S38+T38)/(B38+C38+D38+E38+F38+G38))*100-100</f>
        <v>30.703365761015533</v>
      </c>
      <c r="U13" s="73">
        <f t="shared" ref="U13:U19" si="78">+((O38+P38+Q38+R38+S38+T38+U38)/(B38+C38+D38+E38+F38+G38+H38))*100-100</f>
        <v>27.70417882493237</v>
      </c>
      <c r="V13" s="73">
        <f t="shared" ref="V13:V19" si="79">+((O38+P38+Q38+R38+S38+T38+U38+V38)/(B38+C38+D38+E38+F38+G38+H38+I38))*100-100</f>
        <v>28.061021641339465</v>
      </c>
      <c r="W13" s="73">
        <f t="shared" ref="W13:W19" si="80">+((O38+P38+Q38+R38+S38+T38+U38+V38+W38)/(B38+C38+D38+E38+F38+G38+H38+I38+J38))*100-100</f>
        <v>26.580540607189661</v>
      </c>
      <c r="X13" s="73">
        <f t="shared" ref="X13:X19" si="81">+((O38+P38+Q38+R38+S38+T38+U38+V38+W38+X38)/(B38+C38+D38+E38+F38+G38+H38+I38+J38+K38))*100-100</f>
        <v>25.35299856441975</v>
      </c>
      <c r="Y13" s="73">
        <f t="shared" ref="Y13:Y19" si="82">+((O38+P38+Q38+R38+S38+T38+U38+V38+W38+X38+Y38)/(B38+C38+D38+E38+F38+G38+H38+I38+J38+K38+L38))*100-100</f>
        <v>21.468448775778867</v>
      </c>
      <c r="Z13" s="73">
        <f t="shared" ref="Z13:Z19" si="83">+((O38+P38+Q38+R38+S38+T38+U38+V38+W38+X38+Y38+Z38)/(B38+C38+D38+E38+F38+G38+H38+I38+J38+K38+L38+M38))*100-100</f>
        <v>18.551243969113756</v>
      </c>
      <c r="AB13" s="73">
        <f t="shared" ref="AB13:AB19" si="84">+AB38/O38*100-100</f>
        <v>-10.808520609455712</v>
      </c>
      <c r="AC13" s="73">
        <f t="shared" ref="AC13:AC19" si="85">+((AB38+AC38)/(O38+P38))*100-100</f>
        <v>-17.692153238195829</v>
      </c>
      <c r="AD13" s="73">
        <f t="shared" ref="AD13:AD19" si="86">+((AB38+AC38+AD38)/(O38+P38+Q38))*100-100</f>
        <v>-16.856406357099885</v>
      </c>
      <c r="AE13" s="73">
        <f t="shared" ref="AE13:AE19" si="87">+((AB38+AC38+AD38+AE38)/(O38+P38+Q38+R38))*100-100</f>
        <v>-13.764311583131203</v>
      </c>
      <c r="AF13" s="73">
        <f t="shared" ref="AF13:AF19" si="88">+((AB38+AC38+AD38+AE38+AF38)/(O38+P38+Q38+R38+S38))*100-100</f>
        <v>-17.441418953500303</v>
      </c>
      <c r="AG13" s="73">
        <f t="shared" ref="AG13:AG19" si="89">+((AB38+AC38+AD38+AE38+AF38+AG38)/(O38+P38+Q38+R38+S38+T38))*100-100</f>
        <v>-17.063596650681262</v>
      </c>
      <c r="AH13" s="73">
        <f t="shared" ref="AH13:AH19" si="90">+((AB38+AC38+AD38+AE38+AF38+AG38+AH38)/(O38+P38+Q38+R38+S38+T38+U38))*100-100</f>
        <v>-15.980509091677845</v>
      </c>
      <c r="AI13" s="73">
        <f t="shared" ref="AI13:AI19" si="91">+((AB38+AC38+AD38+AE38+AF38+AG38+AH38+AI38)/(O38+P38+Q38+R38+S38+T38+U38+V38))*100-100</f>
        <v>-17.263715134922933</v>
      </c>
      <c r="AJ13" s="73">
        <f t="shared" ref="AJ13:AJ19" si="92">+((AB38+AC38+AD38+AE38+AF38+AG38+AH38+AI38+AJ38)/(O38+P38+Q38+R38+S38+T38+U38+V38+W38))*100-100</f>
        <v>-16.347296551211073</v>
      </c>
      <c r="AK13" s="73">
        <f t="shared" ref="AK13:AK19" si="93">+((AB38+AC38+AD38+AE38+AF38+AG38+AH38+AI38+AJ38+AK38)/(O38+P38+Q38+R38+S38+T38+U38+V38+W38+X38))*100-100</f>
        <v>-17.00929831589076</v>
      </c>
      <c r="AL13" s="73">
        <f t="shared" ref="AL13:AL19" si="94">+((AB38+AC38+AD38+AE38+AF38+AG38+AH38+AI38+AJ38+AK38+AL38)/(O38+P38+Q38+R38+S38+T38+U38+V38+W38+X38+Y38))*100-100</f>
        <v>-16.897635179306974</v>
      </c>
      <c r="AM13" s="73">
        <f t="shared" ref="AM13:AM19" si="95">+((AB38+AC38+AD38+AE38+AF38+AG38+AH38+AI38+AJ38+AK38+AL38+AM38)/(O38+P38+Q38+R38+S38+T38+U38+V38+W38+X38+Y38+Z38))*100-100</f>
        <v>-15.362597220115461</v>
      </c>
      <c r="AN13" s="73"/>
      <c r="AO13" s="73">
        <f t="shared" ref="AO13:AO19" si="96">+AO38/AB38*100-100</f>
        <v>17.095589695338575</v>
      </c>
      <c r="AP13" s="73">
        <f t="shared" ref="AP13:AP19" si="97">+((AO38+AP38)/(AB38+AC38))*100-100</f>
        <v>21.253649890680364</v>
      </c>
      <c r="AQ13" s="73">
        <f t="shared" ref="AQ13:AQ19" si="98">+((AO38+AP38+AQ38)/(AB38+AC38+AD38))*100-100</f>
        <v>17.903375375445734</v>
      </c>
      <c r="AR13" s="73">
        <f t="shared" ref="AR13:AR19" si="99">+((AO38+AP38+AQ38+AR38)/(AB38+AC38+AD38+AE38))*100-100</f>
        <v>19.529924120864763</v>
      </c>
      <c r="AS13" s="73">
        <f t="shared" ref="AS13:AS19" si="100">+((AO38+AP38+AQ38+AR38+AS38)/(AB38+AC38+AD38+AE38+AF38))*100-100</f>
        <v>22.395456692516262</v>
      </c>
      <c r="AT13" s="73">
        <f t="shared" ref="AT13:AT19" si="101">+((AO38+AP38+AQ38+AR38+AS38+AT38)/(AB38+AC38+AD38+AE38+AF38+AG38))*100-100</f>
        <v>21.030912382370076</v>
      </c>
      <c r="AU13" s="73">
        <f t="shared" ref="AU13:AU19" si="102">+((AO38+AP38+AQ38+AR38+AS38+AT38+AU38)/(AB38+AC38+AD38+AE38+AF38+AG38+AH38))*100-100</f>
        <v>20.088037483587271</v>
      </c>
      <c r="AV13" s="73">
        <f t="shared" ref="AV13:AV19" si="103">+((AO38+AP38+AQ38+AR38+AS38+AT38+AU38+AV38)/(AB38+AC38+AD38+AE38+AF38+AG38+AH38+AI38))*100-100</f>
        <v>19.470935524272164</v>
      </c>
      <c r="AW13" s="73">
        <f t="shared" ref="AW13:AW19" si="104">+((AO38+AP38+AQ38+AR38+AS38+AT38+AU38+AV38+AW38)/(AB38+AC38+AD38+AE38+AF38+AG38+AH38+AI38+AJ38))*100-100</f>
        <v>17.564258612332466</v>
      </c>
      <c r="AX13" s="73">
        <f t="shared" ref="AX13:AX19" si="105">+((AO38+AP38+AQ38+AR38+AS38+AT38+AU38+AV38+AW38+AX38)/(AB38+AC38+AD38+AE38+AF38+AG38+AH38+AI38+AJ38+AK38))*100-100</f>
        <v>15.727124886929602</v>
      </c>
      <c r="AY13" s="73">
        <f t="shared" ref="AY13:AY19" si="106">+((AO38+AP38+AQ38+AR38+AS38+AT38+AU38+AV38+AW38+AX38+AY38)/(AB38+AC38+AD38+AE38+AF38+AG38+AH38+AI38+AJ38+AK38+AL38))*100-100</f>
        <v>14.013140595152464</v>
      </c>
      <c r="AZ13" s="73">
        <f t="shared" ref="AZ13:AZ19" si="107">+((AO38+AP38+AQ38+AR38+AS38+AT38+AU38+AV38+AW38+AX38+AY38+AZ38)/(AB38+AC38+AD38+AE38+AF38+AG38+AH38+AI38+AJ38+AK38+AL38+AM38))*100-100</f>
        <v>12.428218461962786</v>
      </c>
      <c r="BB13" s="73">
        <f t="shared" ref="BB13:BB19" si="108">+BB38/AO38*100-100</f>
        <v>15.908381576843141</v>
      </c>
      <c r="BC13" s="73">
        <f t="shared" ref="BC13:BC19" si="109">+((BB38+BC38)/(AO38+AP38))*100-100</f>
        <v>13.294605048746575</v>
      </c>
      <c r="BD13" s="73">
        <f t="shared" ref="BD13:BD19" si="110">+((BB38+BC38+BD38)/(AO38+AP38+AQ38))*100-100</f>
        <v>12.638974750342541</v>
      </c>
      <c r="BE13" s="73">
        <f t="shared" ref="BE13:BE19" si="111">+((BB38+BC38+BD38+BE38)/(AO38+AP38+AQ38+AR38))*100-100</f>
        <v>11.681020244659493</v>
      </c>
      <c r="BF13" s="73">
        <f t="shared" ref="BF13:BF19" si="112">+((BB38+BC38+BD38+BE38+BF38)/(AO38+AP38+AQ38+AR38+AS38))*100-100</f>
        <v>9.8384255286169946</v>
      </c>
      <c r="BG13" s="73">
        <f t="shared" ref="BG13:BG19" si="113">+((BB38+BC38+BD38+BE38+BF38+BG38)/(AO38+AP38+AQ38+AR38+AS38+AT38))*100-100</f>
        <v>9.7904149021590428</v>
      </c>
      <c r="BH13" s="73">
        <f t="shared" ref="BH13:BH19" si="114">+((BB38+BC38+BD38+BE38+BF38+BG38+BH38)/(AO38+AP38+AQ38+AR38+AS38+AT38+AU38))*100-100</f>
        <v>9.6469377560333953</v>
      </c>
      <c r="BI13" s="73">
        <f t="shared" ref="BI13:BI19" si="115">+((BB38+BC38+BD38+BE38+BF38+BG38+BH38+BI38)/(AO38+AP38+AQ38+AR38+AS38+AT38+AU38+AV38))*100-100</f>
        <v>9.6367328826640914</v>
      </c>
      <c r="BJ13" s="73">
        <f t="shared" ref="BJ13:BJ19" si="116">+((BB38+BC38+BD38+BE38+BF38+BG38+BH38+BI38+BJ38)/(AO38+AP38+AQ38+AR38+AS38+AT38+AU38+AV38+AW38))*100-100</f>
        <v>9.770963052474599</v>
      </c>
      <c r="BK13" s="73">
        <f t="shared" ref="BK13:BK19" si="117">+((BB38+BC38+BD38+BE38+BF38+BG38+BH38+BI38+BJ38+BK38)/(AO38+AP38+AQ38+AR38+AS38+AT38+AU38+AV38+AW38+AX38))*100-100</f>
        <v>9.7901849579949669</v>
      </c>
      <c r="BL13" s="73">
        <f t="shared" ref="BL13:BL19" si="118">+((BB38+BC38+BD38+BE38+BF38+BG38+BH38+BI38+BJ38+BK38+BL38)/(AO38+AP38+AQ38+AR38+AS38+AT38+AU38+AV38+AW38+AX38+AY38))*100-100</f>
        <v>10.15927720966576</v>
      </c>
      <c r="BM13" s="73">
        <f t="shared" ref="BM13:BM19" si="119">+((BB38+BC38+BD38+BE38+BF38+BG38+BH38+BI38+BJ38+BK38+BL38+BM38)/(AO38+AP38+AQ38+AR38+AS38+AT38+AU38+AV38+AW38+AX38+AY38+AZ38))*100-100</f>
        <v>10.665888602904161</v>
      </c>
      <c r="BO13" s="73">
        <f t="shared" si="0"/>
        <v>3.906750390089158</v>
      </c>
      <c r="BP13" s="73">
        <f t="shared" si="1"/>
        <v>3.3178871101759313</v>
      </c>
      <c r="BQ13" s="73">
        <f t="shared" si="2"/>
        <v>4.8823673262229761</v>
      </c>
      <c r="BR13" s="73">
        <f t="shared" si="3"/>
        <v>3.4010404222715636</v>
      </c>
      <c r="BS13" s="73">
        <f t="shared" si="4"/>
        <v>6.4457396039703667</v>
      </c>
      <c r="BT13" s="73">
        <f t="shared" si="5"/>
        <v>7.3604970645667578</v>
      </c>
      <c r="BU13" s="73">
        <f t="shared" si="6"/>
        <v>9.1202771742985362</v>
      </c>
      <c r="BV13" s="73">
        <f t="shared" si="7"/>
        <v>10.276340109389267</v>
      </c>
      <c r="BW13" s="73">
        <f t="shared" si="8"/>
        <v>10.660466753528723</v>
      </c>
      <c r="BX13" s="73">
        <f t="shared" si="9"/>
        <v>11.886755260557564</v>
      </c>
      <c r="BY13" s="73">
        <f t="shared" si="10"/>
        <v>13.699610273107709</v>
      </c>
      <c r="BZ13" s="73">
        <f t="shared" si="11"/>
        <v>14.901563356009873</v>
      </c>
      <c r="CB13" s="244">
        <f t="shared" si="12"/>
        <v>33.991309568381894</v>
      </c>
      <c r="CC13" s="244">
        <f t="shared" si="13"/>
        <v>48.62407646640844</v>
      </c>
      <c r="CD13" s="244">
        <f t="shared" si="14"/>
        <v>43.540177831589659</v>
      </c>
      <c r="CE13" s="244">
        <f t="shared" si="15"/>
        <v>43.590182214779674</v>
      </c>
      <c r="CF13" s="244">
        <f t="shared" si="16"/>
        <v>39.055172849971427</v>
      </c>
      <c r="CG13" s="244">
        <f t="shared" si="17"/>
        <v>39.970400643755397</v>
      </c>
      <c r="CH13" s="244">
        <f t="shared" si="18"/>
        <v>38.090217869991307</v>
      </c>
      <c r="CI13" s="244">
        <f t="shared" si="19"/>
        <v>37.130525082347162</v>
      </c>
      <c r="CJ13" s="244">
        <f t="shared" si="20"/>
        <v>36.881068074972859</v>
      </c>
      <c r="CK13" s="244">
        <f t="shared" si="29"/>
        <v>35.422923968127606</v>
      </c>
      <c r="CL13" s="244">
        <f t="shared" si="30"/>
        <v>33.224396394135084</v>
      </c>
      <c r="CM13" s="244">
        <f t="shared" si="31"/>
        <v>32.222508943259498</v>
      </c>
      <c r="CN13" s="203"/>
      <c r="CO13" s="244">
        <f t="shared" si="21"/>
        <v>11.017427314104665</v>
      </c>
      <c r="CP13" s="244">
        <f t="shared" si="22"/>
        <v>4.6528422596617389</v>
      </c>
      <c r="CQ13" s="244">
        <f t="shared" si="32"/>
        <v>3.5078064606254031</v>
      </c>
      <c r="CR13" s="244">
        <f t="shared" si="33"/>
        <v>3.3698250311561537</v>
      </c>
      <c r="CS13" s="244">
        <f t="shared" si="34"/>
        <v>5.1025511889753403</v>
      </c>
      <c r="CT13" s="244">
        <f t="shared" si="35"/>
        <v>4.5992805592617714</v>
      </c>
      <c r="CU13" s="244">
        <f t="shared" si="36"/>
        <v>4.2810199513273091</v>
      </c>
      <c r="CV13" s="244">
        <f t="shared" si="37"/>
        <v>4.2362434959870114</v>
      </c>
      <c r="CW13" s="244">
        <f t="shared" si="38"/>
        <v>4.8123601816377146</v>
      </c>
      <c r="CX13" s="244">
        <f t="shared" si="39"/>
        <v>6.4123515344579829</v>
      </c>
      <c r="CY13" s="244">
        <f t="shared" si="40"/>
        <v>6.1694546733172473</v>
      </c>
      <c r="CZ13" s="244">
        <f t="shared" si="41"/>
        <v>5.7378979325338264</v>
      </c>
      <c r="DB13" s="244">
        <f t="shared" si="23"/>
        <v>7.7639507200720317</v>
      </c>
      <c r="DC13" s="244">
        <f t="shared" si="24"/>
        <v>3.2106104757291405</v>
      </c>
      <c r="DD13" s="244">
        <f t="shared" si="42"/>
        <v>5.4082893412878548</v>
      </c>
      <c r="DE13" s="244">
        <f t="shared" si="43"/>
        <v>3.8926709945253037</v>
      </c>
      <c r="DF13" s="244">
        <f t="shared" si="44"/>
        <v>2.4420491728329665</v>
      </c>
      <c r="DG13" s="244">
        <f t="shared" si="45"/>
        <v>2.1270390801114303</v>
      </c>
      <c r="DH13" s="244">
        <f t="shared" si="46"/>
        <v>1.1118879688100805</v>
      </c>
      <c r="DI13" s="244">
        <f t="shared" si="47"/>
        <v>2.673353402572971</v>
      </c>
      <c r="DJ13" s="244">
        <f t="shared" si="48"/>
        <v>1.9672287649027425</v>
      </c>
      <c r="DK13" s="244">
        <f t="shared" si="49"/>
        <v>0.81838697992087361</v>
      </c>
      <c r="DL13" s="244">
        <f t="shared" si="50"/>
        <v>1.3156304563699734</v>
      </c>
      <c r="DM13" s="244">
        <f t="shared" si="51"/>
        <v>1.0309876563301117</v>
      </c>
      <c r="DO13" s="244">
        <f t="shared" si="25"/>
        <v>-0.5115419014577185</v>
      </c>
      <c r="DP13" s="244">
        <f t="shared" si="26"/>
        <v>-1.2182799182780002</v>
      </c>
      <c r="DQ13" s="244">
        <f t="shared" si="52"/>
        <v>-0.81539495967379594</v>
      </c>
      <c r="DR13" s="244">
        <f t="shared" si="53"/>
        <v>0.55385813640364745</v>
      </c>
      <c r="DS13" s="244">
        <f t="shared" si="54"/>
        <v>1.6262471202010715</v>
      </c>
      <c r="DT13" s="244">
        <f t="shared" si="55"/>
        <v>1.0028561003768317</v>
      </c>
      <c r="DU13" s="244">
        <f t="shared" si="56"/>
        <v>0.76631122804535323</v>
      </c>
      <c r="DV13" s="244">
        <f t="shared" si="57"/>
        <v>-0.53808677625009693</v>
      </c>
      <c r="DW13" s="244">
        <f t="shared" si="58"/>
        <v>-0.60380917005667811</v>
      </c>
      <c r="DX13" s="244">
        <f t="shared" si="59"/>
        <v>-0.87682847729058722</v>
      </c>
      <c r="DY13" s="244">
        <f t="shared" si="60"/>
        <v>-0.66107127101685137</v>
      </c>
      <c r="DZ13" s="244">
        <f t="shared" si="61"/>
        <v>0.75232341003150793</v>
      </c>
      <c r="EB13" s="244">
        <f t="shared" si="27"/>
        <v>5.1283046240538681</v>
      </c>
      <c r="EC13" s="244">
        <f t="shared" si="28"/>
        <v>7.8660914990948783</v>
      </c>
      <c r="ED13" s="244">
        <f t="shared" si="62"/>
        <v>9.1033398433895343</v>
      </c>
      <c r="EE13" s="244">
        <f t="shared" si="63"/>
        <v>10.310804020586218</v>
      </c>
      <c r="EF13" s="244">
        <f t="shared" si="64"/>
        <v>8.8565617786384507</v>
      </c>
      <c r="EG13" s="244">
        <f t="shared" si="65"/>
        <v>8.6635994566859722</v>
      </c>
      <c r="EH13" s="244">
        <f t="shared" si="66"/>
        <v>-7.3353362975175003</v>
      </c>
      <c r="EI13" s="244">
        <f t="shared" si="67"/>
        <v>-19.992440119247263</v>
      </c>
      <c r="EJ13" s="244">
        <f t="shared" si="68"/>
        <v>-29.186740169032177</v>
      </c>
      <c r="EK13" s="244">
        <f t="shared" si="69"/>
        <v>-36.447312241231032</v>
      </c>
      <c r="EL13" s="244">
        <f t="shared" si="70"/>
        <v>-42.712961530863026</v>
      </c>
      <c r="EM13" s="244">
        <f t="shared" si="71"/>
        <v>-48.23984909152901</v>
      </c>
    </row>
    <row r="14" spans="1:143">
      <c r="A14" s="83" t="s">
        <v>7</v>
      </c>
      <c r="B14" s="73">
        <v>59.273853895543979</v>
      </c>
      <c r="C14" s="73">
        <v>43.216834302889055</v>
      </c>
      <c r="D14" s="73">
        <v>40.043349646216278</v>
      </c>
      <c r="E14" s="73">
        <v>35.305752472377236</v>
      </c>
      <c r="F14" s="73">
        <v>34.304826142587849</v>
      </c>
      <c r="G14" s="73">
        <v>39.320962062300026</v>
      </c>
      <c r="H14" s="73">
        <v>38.525434571892568</v>
      </c>
      <c r="I14" s="73">
        <v>42.137086944142396</v>
      </c>
      <c r="J14" s="73">
        <v>43.165386023495714</v>
      </c>
      <c r="K14" s="73">
        <v>47.802070552187836</v>
      </c>
      <c r="L14" s="73">
        <v>52.223638322789313</v>
      </c>
      <c r="M14" s="73">
        <v>49.480220318857768</v>
      </c>
      <c r="O14" s="73">
        <f t="shared" si="72"/>
        <v>14.537762005795571</v>
      </c>
      <c r="P14" s="73">
        <f t="shared" si="73"/>
        <v>17.70485806724227</v>
      </c>
      <c r="Q14" s="73">
        <f t="shared" si="74"/>
        <v>32.797786916693042</v>
      </c>
      <c r="R14" s="73">
        <f t="shared" si="75"/>
        <v>33.189277010560545</v>
      </c>
      <c r="S14" s="73">
        <f t="shared" si="76"/>
        <v>39.698559218816172</v>
      </c>
      <c r="T14" s="73">
        <f t="shared" si="77"/>
        <v>35.823145859021452</v>
      </c>
      <c r="U14" s="73">
        <f t="shared" si="78"/>
        <v>30.193697318747923</v>
      </c>
      <c r="V14" s="73">
        <f t="shared" si="79"/>
        <v>29.675072751782125</v>
      </c>
      <c r="W14" s="73">
        <f t="shared" si="80"/>
        <v>29.250983142534039</v>
      </c>
      <c r="X14" s="73">
        <f t="shared" si="81"/>
        <v>29.986447546742767</v>
      </c>
      <c r="Y14" s="73">
        <f t="shared" si="82"/>
        <v>22.171406569384501</v>
      </c>
      <c r="Z14" s="73">
        <f t="shared" si="83"/>
        <v>19.477860880371381</v>
      </c>
      <c r="AB14" s="73">
        <f t="shared" si="84"/>
        <v>-13.207289418321892</v>
      </c>
      <c r="AC14" s="73">
        <f t="shared" si="85"/>
        <v>-22.34373158159822</v>
      </c>
      <c r="AD14" s="73">
        <f t="shared" si="86"/>
        <v>-20.386148265661092</v>
      </c>
      <c r="AE14" s="73">
        <f t="shared" si="87"/>
        <v>-17.890294058354556</v>
      </c>
      <c r="AF14" s="73">
        <f t="shared" si="88"/>
        <v>-25.101991049832279</v>
      </c>
      <c r="AG14" s="73">
        <f t="shared" si="89"/>
        <v>-23.979386240361052</v>
      </c>
      <c r="AH14" s="73">
        <f t="shared" si="90"/>
        <v>-21.162904137448663</v>
      </c>
      <c r="AI14" s="73">
        <f t="shared" si="91"/>
        <v>-21.694997884859859</v>
      </c>
      <c r="AJ14" s="73">
        <f t="shared" si="92"/>
        <v>-20.493953522376458</v>
      </c>
      <c r="AK14" s="73">
        <f t="shared" si="93"/>
        <v>-22.706529947059948</v>
      </c>
      <c r="AL14" s="73">
        <f t="shared" si="94"/>
        <v>-21.424807763109825</v>
      </c>
      <c r="AM14" s="73">
        <f t="shared" si="95"/>
        <v>-19.288738837398682</v>
      </c>
      <c r="AN14" s="73"/>
      <c r="AO14" s="73">
        <f t="shared" si="96"/>
        <v>26.552711933767739</v>
      </c>
      <c r="AP14" s="73">
        <f t="shared" si="97"/>
        <v>27.655537386240539</v>
      </c>
      <c r="AQ14" s="73">
        <f t="shared" si="98"/>
        <v>21.971767621893264</v>
      </c>
      <c r="AR14" s="73">
        <f t="shared" si="99"/>
        <v>26.789147184942692</v>
      </c>
      <c r="AS14" s="73">
        <f t="shared" si="100"/>
        <v>35.099533656224963</v>
      </c>
      <c r="AT14" s="73">
        <f t="shared" si="101"/>
        <v>32.583533700912739</v>
      </c>
      <c r="AU14" s="73">
        <f t="shared" si="102"/>
        <v>30.046429595564774</v>
      </c>
      <c r="AV14" s="73">
        <f t="shared" si="103"/>
        <v>28.382285931986047</v>
      </c>
      <c r="AW14" s="73">
        <f t="shared" si="104"/>
        <v>24.810521725247042</v>
      </c>
      <c r="AX14" s="73">
        <f t="shared" si="105"/>
        <v>22.333708707823192</v>
      </c>
      <c r="AY14" s="73">
        <f t="shared" si="106"/>
        <v>18.517736001076756</v>
      </c>
      <c r="AZ14" s="73">
        <f t="shared" si="107"/>
        <v>16.30108622105449</v>
      </c>
      <c r="BB14" s="73">
        <f t="shared" si="108"/>
        <v>9.8048435003233863</v>
      </c>
      <c r="BC14" s="73">
        <f t="shared" si="109"/>
        <v>13.652042284409376</v>
      </c>
      <c r="BD14" s="73">
        <f t="shared" si="110"/>
        <v>13.274912351027382</v>
      </c>
      <c r="BE14" s="73">
        <f t="shared" si="111"/>
        <v>12.559042560807981</v>
      </c>
      <c r="BF14" s="73">
        <f t="shared" si="112"/>
        <v>7.3063402154026136</v>
      </c>
      <c r="BG14" s="73">
        <f t="shared" si="113"/>
        <v>5.1438693847774175</v>
      </c>
      <c r="BH14" s="73">
        <f t="shared" si="114"/>
        <v>6.0619178204701001</v>
      </c>
      <c r="BI14" s="73">
        <f t="shared" si="115"/>
        <v>7.0243232694676863</v>
      </c>
      <c r="BJ14" s="73">
        <f t="shared" si="116"/>
        <v>7.1176519058918615</v>
      </c>
      <c r="BK14" s="73">
        <f t="shared" si="117"/>
        <v>7.8091156202783054</v>
      </c>
      <c r="BL14" s="73">
        <f t="shared" si="118"/>
        <v>8.7687453962543032</v>
      </c>
      <c r="BM14" s="73">
        <f t="shared" si="119"/>
        <v>9.8838720192710809</v>
      </c>
      <c r="BO14" s="73">
        <f t="shared" si="0"/>
        <v>11.29214421446423</v>
      </c>
      <c r="BP14" s="73">
        <f t="shared" si="1"/>
        <v>1.4721761758415255</v>
      </c>
      <c r="BQ14" s="73">
        <f t="shared" si="2"/>
        <v>1.0882226971370841</v>
      </c>
      <c r="BR14" s="73">
        <f t="shared" si="3"/>
        <v>-1.4304750873076131</v>
      </c>
      <c r="BS14" s="73">
        <f t="shared" si="4"/>
        <v>4.4443630175447453</v>
      </c>
      <c r="BT14" s="73">
        <f t="shared" si="5"/>
        <v>5.7604732577909914</v>
      </c>
      <c r="BU14" s="73">
        <f t="shared" si="6"/>
        <v>7.4405286361370599</v>
      </c>
      <c r="BV14" s="73">
        <f t="shared" si="7"/>
        <v>8.9169361850457847</v>
      </c>
      <c r="BW14" s="73">
        <f t="shared" si="8"/>
        <v>9.41748157947913</v>
      </c>
      <c r="BX14" s="73">
        <f t="shared" si="9"/>
        <v>11.024045800011351</v>
      </c>
      <c r="BY14" s="73">
        <f t="shared" si="10"/>
        <v>13.130407902645302</v>
      </c>
      <c r="BZ14" s="73">
        <f t="shared" si="11"/>
        <v>13.043146495698423</v>
      </c>
      <c r="CB14" s="244">
        <f t="shared" si="12"/>
        <v>33.309743875054835</v>
      </c>
      <c r="CC14" s="244">
        <f t="shared" si="13"/>
        <v>48.232356200690276</v>
      </c>
      <c r="CD14" s="244">
        <f t="shared" si="14"/>
        <v>38.950479555561401</v>
      </c>
      <c r="CE14" s="244">
        <f t="shared" si="15"/>
        <v>35.781562950022249</v>
      </c>
      <c r="CF14" s="244">
        <f t="shared" si="16"/>
        <v>24.376731373552801</v>
      </c>
      <c r="CG14" s="244">
        <f t="shared" si="17"/>
        <v>23.548736549607142</v>
      </c>
      <c r="CH14" s="244">
        <f t="shared" si="18"/>
        <v>20.471360649177356</v>
      </c>
      <c r="CI14" s="244">
        <f t="shared" si="19"/>
        <v>17.182877910243846</v>
      </c>
      <c r="CJ14" s="244">
        <f t="shared" si="20"/>
        <v>15.493696927152541</v>
      </c>
      <c r="CK14" s="244">
        <f t="shared" si="29"/>
        <v>12.559030314854638</v>
      </c>
      <c r="CL14" s="244">
        <f t="shared" si="30"/>
        <v>9.6994720777358481</v>
      </c>
      <c r="CM14" s="244">
        <f t="shared" si="31"/>
        <v>9.0813617434859566</v>
      </c>
      <c r="CN14" s="203"/>
      <c r="CO14" s="244">
        <f t="shared" si="21"/>
        <v>-2.9311706162056339</v>
      </c>
      <c r="CP14" s="244">
        <f t="shared" si="22"/>
        <v>-3.2160007620877877</v>
      </c>
      <c r="CQ14" s="244">
        <f t="shared" si="32"/>
        <v>-5.7723643198009</v>
      </c>
      <c r="CR14" s="244">
        <f t="shared" si="33"/>
        <v>-4.6133405451466984</v>
      </c>
      <c r="CS14" s="244">
        <f t="shared" si="34"/>
        <v>0.95597132923008132</v>
      </c>
      <c r="CT14" s="244">
        <f t="shared" si="35"/>
        <v>3.0754282627304121</v>
      </c>
      <c r="CU14" s="244">
        <f t="shared" si="36"/>
        <v>2.8734374072766542</v>
      </c>
      <c r="CV14" s="244">
        <f t="shared" si="37"/>
        <v>4.656794190081655</v>
      </c>
      <c r="CW14" s="244">
        <f t="shared" si="38"/>
        <v>5.8191608090735656</v>
      </c>
      <c r="CX14" s="244">
        <f t="shared" si="39"/>
        <v>9.527159948779456</v>
      </c>
      <c r="CY14" s="244">
        <f t="shared" si="40"/>
        <v>9.7141939239123332</v>
      </c>
      <c r="CZ14" s="244">
        <f t="shared" si="41"/>
        <v>7.0343998513345127</v>
      </c>
      <c r="DB14" s="244">
        <f t="shared" si="23"/>
        <v>8.8159960167246254E-2</v>
      </c>
      <c r="DC14" s="244">
        <f t="shared" si="24"/>
        <v>-8.5102880519304591</v>
      </c>
      <c r="DD14" s="244">
        <f t="shared" si="42"/>
        <v>2.2197095598407657</v>
      </c>
      <c r="DE14" s="244">
        <f t="shared" si="43"/>
        <v>-0.85089575415415197</v>
      </c>
      <c r="DF14" s="244">
        <f t="shared" si="44"/>
        <v>-3.3280365345170821</v>
      </c>
      <c r="DG14" s="244">
        <f t="shared" si="45"/>
        <v>-5.3695170493589188</v>
      </c>
      <c r="DH14" s="244">
        <f t="shared" si="46"/>
        <v>-7.17183856543285</v>
      </c>
      <c r="DI14" s="244">
        <f t="shared" si="47"/>
        <v>-3.0986798301839258</v>
      </c>
      <c r="DJ14" s="244">
        <f t="shared" si="48"/>
        <v>-4.8385017355000883</v>
      </c>
      <c r="DK14" s="244">
        <f t="shared" si="49"/>
        <v>-7.5026283161261631</v>
      </c>
      <c r="DL14" s="244">
        <f t="shared" si="50"/>
        <v>-6.137113066733761</v>
      </c>
      <c r="DM14" s="244">
        <f t="shared" si="51"/>
        <v>-5.7611113490164314</v>
      </c>
      <c r="DO14" s="244">
        <f t="shared" si="25"/>
        <v>-2.3563822172942679</v>
      </c>
      <c r="DP14" s="244">
        <f t="shared" si="26"/>
        <v>-6.4944221435900573</v>
      </c>
      <c r="DQ14" s="244">
        <f t="shared" si="52"/>
        <v>-12.054053215967471</v>
      </c>
      <c r="DR14" s="244">
        <f t="shared" si="53"/>
        <v>-10.956685604411561</v>
      </c>
      <c r="DS14" s="244">
        <f t="shared" si="54"/>
        <v>-11.228542921682021</v>
      </c>
      <c r="DT14" s="244">
        <f t="shared" si="55"/>
        <v>-12.267536567999755</v>
      </c>
      <c r="DU14" s="244">
        <f t="shared" si="56"/>
        <v>-12.044106668850958</v>
      </c>
      <c r="DV14" s="244">
        <f t="shared" si="57"/>
        <v>-16.396534153900319</v>
      </c>
      <c r="DW14" s="244">
        <f t="shared" si="58"/>
        <v>-14.68066173621547</v>
      </c>
      <c r="DX14" s="244">
        <f t="shared" si="59"/>
        <v>-13.789968484181813</v>
      </c>
      <c r="DY14" s="244">
        <f t="shared" si="60"/>
        <v>-13.210022198739523</v>
      </c>
      <c r="DZ14" s="244">
        <f t="shared" si="61"/>
        <v>-9.9426075906671656</v>
      </c>
      <c r="EB14" s="244">
        <f t="shared" si="27"/>
        <v>-2.5922004252932851</v>
      </c>
      <c r="EC14" s="244">
        <f t="shared" si="28"/>
        <v>7.3407737566911351</v>
      </c>
      <c r="ED14" s="244">
        <f t="shared" si="62"/>
        <v>8.7585117422410548</v>
      </c>
      <c r="EE14" s="244">
        <f t="shared" si="63"/>
        <v>9.5867585083333466</v>
      </c>
      <c r="EF14" s="244">
        <f t="shared" si="64"/>
        <v>10.657099799495072</v>
      </c>
      <c r="EG14" s="244">
        <f t="shared" si="65"/>
        <v>10.679399045953161</v>
      </c>
      <c r="EH14" s="244">
        <f t="shared" si="66"/>
        <v>-5.8526998000437374</v>
      </c>
      <c r="EI14" s="244">
        <f t="shared" si="67"/>
        <v>-19.024361212173417</v>
      </c>
      <c r="EJ14" s="244">
        <f t="shared" si="68"/>
        <v>-29.041215325605606</v>
      </c>
      <c r="EK14" s="244">
        <f t="shared" si="69"/>
        <v>-37.226543372095932</v>
      </c>
      <c r="EL14" s="244">
        <f t="shared" si="70"/>
        <v>-44.254097710835651</v>
      </c>
      <c r="EM14" s="244">
        <f t="shared" si="71"/>
        <v>-49.613536354261434</v>
      </c>
    </row>
    <row r="15" spans="1:143">
      <c r="A15" s="249" t="s">
        <v>121</v>
      </c>
      <c r="B15" s="73"/>
      <c r="C15" s="73"/>
      <c r="D15" s="73"/>
      <c r="E15" s="73"/>
      <c r="F15" s="73"/>
      <c r="G15" s="73"/>
      <c r="H15" s="73"/>
      <c r="I15" s="73"/>
      <c r="J15" s="73"/>
      <c r="K15" s="73"/>
      <c r="L15" s="73"/>
      <c r="M15" s="73"/>
      <c r="O15" s="73">
        <f t="shared" si="72"/>
        <v>16.178174885042424</v>
      </c>
      <c r="P15" s="73">
        <f t="shared" si="73"/>
        <v>13.196498135969506</v>
      </c>
      <c r="Q15" s="73">
        <f t="shared" si="74"/>
        <v>13.597612730679515</v>
      </c>
      <c r="R15" s="73">
        <f t="shared" si="75"/>
        <v>15.728771637334219</v>
      </c>
      <c r="S15" s="73">
        <f t="shared" si="76"/>
        <v>15.1014707593921</v>
      </c>
      <c r="T15" s="73">
        <f t="shared" si="77"/>
        <v>17.432003849147677</v>
      </c>
      <c r="U15" s="73">
        <f t="shared" si="78"/>
        <v>17.884643759074706</v>
      </c>
      <c r="V15" s="73">
        <f t="shared" si="79"/>
        <v>19.429918504056246</v>
      </c>
      <c r="W15" s="73">
        <f t="shared" si="80"/>
        <v>18.902966443216897</v>
      </c>
      <c r="X15" s="73">
        <f t="shared" si="81"/>
        <v>22.927616913438314</v>
      </c>
      <c r="Y15" s="73">
        <f t="shared" si="82"/>
        <v>22.601745728536571</v>
      </c>
      <c r="Z15" s="73">
        <f t="shared" si="83"/>
        <v>22.298399839290823</v>
      </c>
      <c r="AB15" s="73">
        <f t="shared" si="84"/>
        <v>-23.002912168358719</v>
      </c>
      <c r="AC15" s="73">
        <f t="shared" si="85"/>
        <v>-5.4012448470584786</v>
      </c>
      <c r="AD15" s="73">
        <f t="shared" si="86"/>
        <v>1.1809266020986939</v>
      </c>
      <c r="AE15" s="73">
        <f t="shared" si="87"/>
        <v>1.6333625287022073</v>
      </c>
      <c r="AF15" s="73">
        <f t="shared" si="88"/>
        <v>3.0087492416259778</v>
      </c>
      <c r="AG15" s="73">
        <f t="shared" si="89"/>
        <v>2.6346555234023441</v>
      </c>
      <c r="AH15" s="73">
        <f t="shared" si="90"/>
        <v>3.1537283868205748</v>
      </c>
      <c r="AI15" s="73">
        <f t="shared" si="91"/>
        <v>1.8246948990670262</v>
      </c>
      <c r="AJ15" s="73">
        <f t="shared" si="92"/>
        <v>2.1350560816293864</v>
      </c>
      <c r="AK15" s="73">
        <f t="shared" si="93"/>
        <v>-0.55277502389023425</v>
      </c>
      <c r="AL15" s="73">
        <f t="shared" si="94"/>
        <v>9.5387358651223053E-2</v>
      </c>
      <c r="AM15" s="73">
        <f t="shared" si="95"/>
        <v>-1.154052161450565</v>
      </c>
      <c r="AN15" s="73"/>
      <c r="AO15" s="73">
        <f t="shared" si="96"/>
        <v>41.702189903042466</v>
      </c>
      <c r="AP15" s="73">
        <f t="shared" si="97"/>
        <v>28.081897057557939</v>
      </c>
      <c r="AQ15" s="73">
        <f t="shared" si="98"/>
        <v>21.606320130786941</v>
      </c>
      <c r="AR15" s="73">
        <f t="shared" si="99"/>
        <v>19.025151477844787</v>
      </c>
      <c r="AS15" s="73">
        <f t="shared" si="100"/>
        <v>16.801899196871162</v>
      </c>
      <c r="AT15" s="73">
        <f t="shared" si="101"/>
        <v>14.309242496128121</v>
      </c>
      <c r="AU15" s="73">
        <f t="shared" si="102"/>
        <v>14.125591291961939</v>
      </c>
      <c r="AV15" s="73">
        <f t="shared" si="103"/>
        <v>13.962021468517463</v>
      </c>
      <c r="AW15" s="73">
        <f t="shared" si="104"/>
        <v>13.591629599268089</v>
      </c>
      <c r="AX15" s="73">
        <f t="shared" si="105"/>
        <v>9.4926734456079345</v>
      </c>
      <c r="AY15" s="73">
        <f t="shared" si="106"/>
        <v>6.4581156358020593</v>
      </c>
      <c r="AZ15" s="73">
        <f t="shared" si="107"/>
        <v>2.3648569945805349</v>
      </c>
      <c r="BB15" s="73">
        <f t="shared" si="108"/>
        <v>25.936029964756017</v>
      </c>
      <c r="BC15" s="73">
        <f t="shared" si="109"/>
        <v>16.455171794542906</v>
      </c>
      <c r="BD15" s="73">
        <f t="shared" si="110"/>
        <v>14.210711445845249</v>
      </c>
      <c r="BE15" s="73">
        <f t="shared" si="111"/>
        <v>12.349226623280444</v>
      </c>
      <c r="BF15" s="73">
        <f t="shared" si="112"/>
        <v>12.037381704865396</v>
      </c>
      <c r="BG15" s="73">
        <f t="shared" si="113"/>
        <v>11.287695441347509</v>
      </c>
      <c r="BH15" s="73">
        <f t="shared" si="114"/>
        <v>10.305183647869498</v>
      </c>
      <c r="BI15" s="73">
        <f t="shared" si="115"/>
        <v>9.8717740597265902</v>
      </c>
      <c r="BJ15" s="73">
        <f t="shared" si="116"/>
        <v>9.9424442072811701</v>
      </c>
      <c r="BK15" s="73">
        <f t="shared" si="117"/>
        <v>12.056985170993144</v>
      </c>
      <c r="BL15" s="73">
        <f t="shared" si="118"/>
        <v>13.956429126925073</v>
      </c>
      <c r="BM15" s="73">
        <f t="shared" si="119"/>
        <v>17.196207053053698</v>
      </c>
      <c r="BO15" s="73">
        <f t="shared" si="0"/>
        <v>8.203429936417578</v>
      </c>
      <c r="BP15" s="73">
        <f t="shared" si="1"/>
        <v>5.6129740912574562</v>
      </c>
      <c r="BQ15" s="73">
        <f t="shared" si="2"/>
        <v>0.46870728208610046</v>
      </c>
      <c r="BR15" s="73">
        <f t="shared" si="3"/>
        <v>-0.54478391166323092</v>
      </c>
      <c r="BS15" s="73">
        <f t="shared" si="4"/>
        <v>5.9582666527774109E-2</v>
      </c>
      <c r="BT15" s="73">
        <f t="shared" si="5"/>
        <v>0.68291987997670844</v>
      </c>
      <c r="BU15" s="73">
        <f t="shared" si="6"/>
        <v>1.0921988620287379</v>
      </c>
      <c r="BV15" s="73">
        <f t="shared" si="7"/>
        <v>1.8608791760596546</v>
      </c>
      <c r="BW15" s="73">
        <f t="shared" si="8"/>
        <v>1.5083770522601299</v>
      </c>
      <c r="BX15" s="73">
        <f t="shared" si="9"/>
        <v>2.9172357622872624</v>
      </c>
      <c r="BY15" s="73">
        <f t="shared" si="10"/>
        <v>3.3360300114054553</v>
      </c>
      <c r="BZ15" s="73">
        <f t="shared" si="11"/>
        <v>4.5436352223268841</v>
      </c>
      <c r="CB15" s="244">
        <f t="shared" si="12"/>
        <v>-10.104029214677624</v>
      </c>
      <c r="CC15" s="244">
        <f t="shared" si="13"/>
        <v>-50.773146936999787</v>
      </c>
      <c r="CD15" s="244">
        <f t="shared" si="14"/>
        <v>-65.405903073103985</v>
      </c>
      <c r="CE15" s="244">
        <f t="shared" si="15"/>
        <v>-70.812133599596635</v>
      </c>
      <c r="CF15" s="244">
        <f t="shared" si="16"/>
        <v>-74.969947781750605</v>
      </c>
      <c r="CG15" s="244">
        <f t="shared" si="17"/>
        <v>-76.947052890734568</v>
      </c>
      <c r="CH15" s="244">
        <f t="shared" si="18"/>
        <v>-79.145089012877037</v>
      </c>
      <c r="CI15" s="244">
        <f t="shared" si="19"/>
        <v>-81.43387266001055</v>
      </c>
      <c r="CJ15" s="244">
        <f t="shared" si="20"/>
        <v>-83.687362832775847</v>
      </c>
      <c r="CK15" s="244">
        <f t="shared" si="29"/>
        <v>-85.363953609304019</v>
      </c>
      <c r="CL15" s="244">
        <f t="shared" si="30"/>
        <v>-84.641718929730075</v>
      </c>
      <c r="CM15" s="244">
        <f t="shared" si="31"/>
        <v>-86.128563294631746</v>
      </c>
      <c r="CN15" s="203"/>
      <c r="CO15" s="244">
        <f t="shared" si="21"/>
        <v>-90.349583243048031</v>
      </c>
      <c r="CP15" s="244">
        <f t="shared" si="22"/>
        <v>-91.786594330104919</v>
      </c>
      <c r="CQ15" s="244">
        <f t="shared" si="32"/>
        <v>-91.749612781592717</v>
      </c>
      <c r="CR15" s="244">
        <f t="shared" si="33"/>
        <v>-73.332658150699629</v>
      </c>
      <c r="CS15" s="244">
        <f t="shared" si="34"/>
        <v>-66.962577547155689</v>
      </c>
      <c r="CT15" s="244">
        <f t="shared" si="35"/>
        <v>-60.305807908209324</v>
      </c>
      <c r="CU15" s="244">
        <f t="shared" si="36"/>
        <v>-56.738856460647305</v>
      </c>
      <c r="CV15" s="244">
        <f t="shared" si="37"/>
        <v>-52.431025178141724</v>
      </c>
      <c r="CW15" s="244">
        <f t="shared" si="38"/>
        <v>-49.974304099500976</v>
      </c>
      <c r="CX15" s="244">
        <f t="shared" si="39"/>
        <v>-35.292478685707124</v>
      </c>
      <c r="CY15" s="244">
        <f t="shared" si="40"/>
        <v>-38.791357608859769</v>
      </c>
      <c r="CZ15" s="244">
        <f t="shared" si="41"/>
        <v>-34.386751774051291</v>
      </c>
      <c r="DB15" s="244">
        <f t="shared" si="23"/>
        <v>-35.094493624056042</v>
      </c>
      <c r="DC15" s="244">
        <f t="shared" si="24"/>
        <v>62.389041778573244</v>
      </c>
      <c r="DD15" s="244">
        <f t="shared" si="42"/>
        <v>152.76434421000866</v>
      </c>
      <c r="DE15" s="244">
        <f t="shared" si="43"/>
        <v>-1.7151564704654305</v>
      </c>
      <c r="DF15" s="244">
        <f t="shared" si="44"/>
        <v>-4.2298100938982657</v>
      </c>
      <c r="DG15" s="244">
        <f t="shared" si="45"/>
        <v>-12.176356826442927</v>
      </c>
      <c r="DH15" s="244">
        <f t="shared" si="46"/>
        <v>-10.37476071024409</v>
      </c>
      <c r="DI15" s="244">
        <f t="shared" si="47"/>
        <v>-8.8740529643686301</v>
      </c>
      <c r="DJ15" s="244">
        <f t="shared" si="48"/>
        <v>-0.92353344336699195</v>
      </c>
      <c r="DK15" s="244">
        <f t="shared" si="49"/>
        <v>-13.997869303787951</v>
      </c>
      <c r="DL15" s="244">
        <f t="shared" si="50"/>
        <v>-12.398170534982327</v>
      </c>
      <c r="DM15" s="244">
        <f t="shared" si="51"/>
        <v>-7.4124918065068357</v>
      </c>
      <c r="DO15" s="244">
        <f t="shared" si="25"/>
        <v>42.779683100515939</v>
      </c>
      <c r="DP15" s="244">
        <f t="shared" si="26"/>
        <v>31.533593940515146</v>
      </c>
      <c r="DQ15" s="244">
        <f t="shared" si="52"/>
        <v>27.303440778312662</v>
      </c>
      <c r="DR15" s="244">
        <f t="shared" si="53"/>
        <v>24.537605130107451</v>
      </c>
      <c r="DS15" s="244">
        <f t="shared" si="54"/>
        <v>22.940067676501769</v>
      </c>
      <c r="DT15" s="244">
        <f t="shared" si="55"/>
        <v>22.95518072541509</v>
      </c>
      <c r="DU15" s="244">
        <f t="shared" si="56"/>
        <v>23.110701703031381</v>
      </c>
      <c r="DV15" s="244">
        <f t="shared" si="57"/>
        <v>23.532588671586979</v>
      </c>
      <c r="DW15" s="244">
        <f t="shared" si="58"/>
        <v>23.820728786957218</v>
      </c>
      <c r="DX15" s="244">
        <f t="shared" si="59"/>
        <v>23.475051980677648</v>
      </c>
      <c r="DY15" s="244">
        <f t="shared" si="60"/>
        <v>23.432156467293112</v>
      </c>
      <c r="DZ15" s="244">
        <f t="shared" si="61"/>
        <v>22.960228926764074</v>
      </c>
      <c r="EB15" s="244">
        <f t="shared" si="27"/>
        <v>20.483049553042918</v>
      </c>
      <c r="EC15" s="244">
        <f t="shared" si="28"/>
        <v>18.155979544534631</v>
      </c>
      <c r="ED15" s="244">
        <f t="shared" si="62"/>
        <v>18.024203259733468</v>
      </c>
      <c r="EE15" s="244">
        <f t="shared" si="63"/>
        <v>18.589204063712316</v>
      </c>
      <c r="EF15" s="244">
        <f t="shared" si="64"/>
        <v>17.901779904171789</v>
      </c>
      <c r="EG15" s="244">
        <f t="shared" si="65"/>
        <v>17.857325341950968</v>
      </c>
      <c r="EH15" s="244">
        <f t="shared" si="66"/>
        <v>-0.93905444838267726</v>
      </c>
      <c r="EI15" s="244">
        <f t="shared" si="67"/>
        <v>-14.025124904896103</v>
      </c>
      <c r="EJ15" s="244">
        <f t="shared" si="68"/>
        <v>-24.143096166033956</v>
      </c>
      <c r="EK15" s="244">
        <f t="shared" si="69"/>
        <v>-32.583252274756674</v>
      </c>
      <c r="EL15" s="244">
        <f t="shared" si="70"/>
        <v>-39.460931247191979</v>
      </c>
      <c r="EM15" s="244">
        <f t="shared" si="71"/>
        <v>-46.632759408795131</v>
      </c>
    </row>
    <row r="16" spans="1:143">
      <c r="A16" s="71" t="s">
        <v>18</v>
      </c>
      <c r="B16" s="73"/>
      <c r="C16" s="73"/>
      <c r="D16" s="73"/>
      <c r="E16" s="73"/>
      <c r="F16" s="73"/>
      <c r="G16" s="73"/>
      <c r="H16" s="73"/>
      <c r="I16" s="73"/>
      <c r="J16" s="73"/>
      <c r="K16" s="73"/>
      <c r="L16" s="73"/>
      <c r="M16" s="70"/>
      <c r="O16" s="73">
        <f t="shared" si="72"/>
        <v>36.712771151851314</v>
      </c>
      <c r="P16" s="73">
        <f t="shared" si="73"/>
        <v>39.982925862600183</v>
      </c>
      <c r="Q16" s="73">
        <f t="shared" si="74"/>
        <v>28.445377590483531</v>
      </c>
      <c r="R16" s="73">
        <f t="shared" si="75"/>
        <v>27.979686760079886</v>
      </c>
      <c r="S16" s="73">
        <f t="shared" si="76"/>
        <v>27.136077872822526</v>
      </c>
      <c r="T16" s="73">
        <f t="shared" si="77"/>
        <v>27.783533496652211</v>
      </c>
      <c r="U16" s="73">
        <f t="shared" si="78"/>
        <v>26.028647459332859</v>
      </c>
      <c r="V16" s="73">
        <f t="shared" si="79"/>
        <v>26.762321526113595</v>
      </c>
      <c r="W16" s="73">
        <f t="shared" si="80"/>
        <v>31.424805617606779</v>
      </c>
      <c r="X16" s="73">
        <f t="shared" si="81"/>
        <v>30.198801758027884</v>
      </c>
      <c r="Y16" s="73">
        <f t="shared" si="82"/>
        <v>28.707506372182166</v>
      </c>
      <c r="Z16" s="73">
        <f t="shared" si="83"/>
        <v>26.919467998175435</v>
      </c>
      <c r="AB16" s="73">
        <f t="shared" si="84"/>
        <v>8.3722463150956372</v>
      </c>
      <c r="AC16" s="73">
        <f t="shared" si="85"/>
        <v>5.671972690673627</v>
      </c>
      <c r="AD16" s="73">
        <f t="shared" si="86"/>
        <v>10.721309227360123</v>
      </c>
      <c r="AE16" s="73">
        <f t="shared" si="87"/>
        <v>10.27357621991321</v>
      </c>
      <c r="AF16" s="73">
        <f t="shared" si="88"/>
        <v>11.456971304405329</v>
      </c>
      <c r="AG16" s="73">
        <f t="shared" si="89"/>
        <v>11.916316008573318</v>
      </c>
      <c r="AH16" s="73">
        <f t="shared" si="90"/>
        <v>13.970675648139675</v>
      </c>
      <c r="AI16" s="73">
        <f t="shared" si="91"/>
        <v>12.269667744279687</v>
      </c>
      <c r="AJ16" s="73">
        <f t="shared" si="92"/>
        <v>12.262752537241113</v>
      </c>
      <c r="AK16" s="73">
        <f t="shared" si="93"/>
        <v>12.024168201887903</v>
      </c>
      <c r="AL16" s="73">
        <f t="shared" si="94"/>
        <v>12.178424300051006</v>
      </c>
      <c r="AM16" s="73">
        <f t="shared" si="95"/>
        <v>12.402457188476006</v>
      </c>
      <c r="AN16" s="73"/>
      <c r="AO16" s="73">
        <f t="shared" si="96"/>
        <v>-0.8990996958838906</v>
      </c>
      <c r="AP16" s="73">
        <f t="shared" si="97"/>
        <v>3.750418069375371</v>
      </c>
      <c r="AQ16" s="73">
        <f t="shared" si="98"/>
        <v>6.0171141539401276</v>
      </c>
      <c r="AR16" s="73">
        <f t="shared" si="99"/>
        <v>5.8593826409512957</v>
      </c>
      <c r="AS16" s="73">
        <f t="shared" si="100"/>
        <v>5.4528406889616292</v>
      </c>
      <c r="AT16" s="73">
        <f t="shared" si="101"/>
        <v>4.5511305155325061</v>
      </c>
      <c r="AU16" s="73">
        <f t="shared" si="102"/>
        <v>4.041115997518105</v>
      </c>
      <c r="AV16" s="73">
        <f t="shared" si="103"/>
        <v>3.2856847509719245</v>
      </c>
      <c r="AW16" s="73">
        <f t="shared" si="104"/>
        <v>1.5616486069230291</v>
      </c>
      <c r="AX16" s="73">
        <f t="shared" si="105"/>
        <v>1.0248106278503855</v>
      </c>
      <c r="AY16" s="73">
        <f t="shared" si="106"/>
        <v>1.5966323141098684</v>
      </c>
      <c r="AZ16" s="73">
        <f t="shared" si="107"/>
        <v>1.783916919009144</v>
      </c>
      <c r="BB16" s="73">
        <f t="shared" si="108"/>
        <v>5.7382124260157354</v>
      </c>
      <c r="BC16" s="73">
        <f t="shared" si="109"/>
        <v>4.993264936614807</v>
      </c>
      <c r="BD16" s="73">
        <f t="shared" si="110"/>
        <v>6.8599589880723641</v>
      </c>
      <c r="BE16" s="73">
        <f t="shared" si="111"/>
        <v>6.8627983492832243</v>
      </c>
      <c r="BF16" s="73">
        <f t="shared" si="112"/>
        <v>6.7180599616999785</v>
      </c>
      <c r="BG16" s="73">
        <f t="shared" si="113"/>
        <v>6.6073521520556397</v>
      </c>
      <c r="BH16" s="73">
        <f t="shared" si="114"/>
        <v>6.713454404788763</v>
      </c>
      <c r="BI16" s="73">
        <f t="shared" si="115"/>
        <v>7.3497333944817456</v>
      </c>
      <c r="BJ16" s="73">
        <f t="shared" si="116"/>
        <v>7.2633785097754071</v>
      </c>
      <c r="BK16" s="73">
        <f t="shared" si="117"/>
        <v>7.547820819424004</v>
      </c>
      <c r="BL16" s="73">
        <f t="shared" si="118"/>
        <v>7.2375869983872292</v>
      </c>
      <c r="BM16" s="73">
        <f t="shared" si="119"/>
        <v>8.4860047728545993</v>
      </c>
      <c r="BO16" s="73">
        <f t="shared" si="0"/>
        <v>3.1736095338586949</v>
      </c>
      <c r="BP16" s="73">
        <f t="shared" si="1"/>
        <v>9.3053537963911737</v>
      </c>
      <c r="BQ16" s="73">
        <f t="shared" si="2"/>
        <v>7.4883254791549234</v>
      </c>
      <c r="BR16" s="73">
        <f t="shared" si="3"/>
        <v>8.0421450634592588</v>
      </c>
      <c r="BS16" s="73">
        <f t="shared" si="4"/>
        <v>8.651898090856605</v>
      </c>
      <c r="BT16" s="73">
        <f t="shared" si="5"/>
        <v>7.9855913154497529</v>
      </c>
      <c r="BU16" s="73">
        <f t="shared" si="6"/>
        <v>8.100950670465167</v>
      </c>
      <c r="BV16" s="73">
        <f t="shared" si="7"/>
        <v>7.7228646940818777</v>
      </c>
      <c r="BW16" s="73">
        <f t="shared" si="8"/>
        <v>7.6018686525496548</v>
      </c>
      <c r="BX16" s="73">
        <f t="shared" si="9"/>
        <v>8.1716029973986082</v>
      </c>
      <c r="BY16" s="73">
        <f t="shared" si="10"/>
        <v>8.3149005057833563</v>
      </c>
      <c r="BZ16" s="73">
        <f t="shared" si="11"/>
        <v>7.5636667702495828</v>
      </c>
      <c r="CB16" s="244">
        <f t="shared" si="12"/>
        <v>19.855065815709168</v>
      </c>
      <c r="CC16" s="244">
        <f t="shared" si="13"/>
        <v>13.609119494849665</v>
      </c>
      <c r="CD16" s="244">
        <f t="shared" si="14"/>
        <v>12.570399561342896</v>
      </c>
      <c r="CE16" s="244">
        <f t="shared" si="15"/>
        <v>13.133295467502009</v>
      </c>
      <c r="CF16" s="244">
        <f t="shared" si="16"/>
        <v>11.107331054490729</v>
      </c>
      <c r="CG16" s="244">
        <f t="shared" si="17"/>
        <v>10.335101209604531</v>
      </c>
      <c r="CH16" s="244">
        <f t="shared" si="18"/>
        <v>9.016830799596903</v>
      </c>
      <c r="CI16" s="244">
        <f t="shared" si="19"/>
        <v>8.8196262937021146</v>
      </c>
      <c r="CJ16" s="244">
        <f t="shared" si="20"/>
        <v>8.5436866560790321</v>
      </c>
      <c r="CK16" s="244">
        <f t="shared" si="29"/>
        <v>9.6876786576799816</v>
      </c>
      <c r="CL16" s="244">
        <f t="shared" si="30"/>
        <v>9.5035161694951853</v>
      </c>
      <c r="CM16" s="244">
        <f t="shared" si="31"/>
        <v>16.354015090537402</v>
      </c>
      <c r="CN16" s="203"/>
      <c r="CO16" s="244">
        <f t="shared" si="21"/>
        <v>1.5531984855219179</v>
      </c>
      <c r="CP16" s="244">
        <f t="shared" si="22"/>
        <v>3.9980416422228444</v>
      </c>
      <c r="CQ16" s="244">
        <f t="shared" si="32"/>
        <v>9.6261266050170207</v>
      </c>
      <c r="CR16" s="244">
        <f t="shared" si="33"/>
        <v>8.3250196883474246</v>
      </c>
      <c r="CS16" s="244">
        <f t="shared" si="34"/>
        <v>7.9902567880261444</v>
      </c>
      <c r="CT16" s="244">
        <f t="shared" si="35"/>
        <v>7.4010295938716553</v>
      </c>
      <c r="CU16" s="244">
        <f t="shared" si="36"/>
        <v>8.9322048566329926</v>
      </c>
      <c r="CV16" s="244">
        <f t="shared" si="37"/>
        <v>9.3521774190519835</v>
      </c>
      <c r="CW16" s="244">
        <f t="shared" si="38"/>
        <v>11.836129153570425</v>
      </c>
      <c r="CX16" s="244">
        <f t="shared" si="39"/>
        <v>11.982783014830517</v>
      </c>
      <c r="CY16" s="244">
        <f t="shared" si="40"/>
        <v>12.835887171137685</v>
      </c>
      <c r="CZ16" s="244">
        <f t="shared" si="41"/>
        <v>6.9804370389291819</v>
      </c>
      <c r="DB16" s="244">
        <f t="shared" si="23"/>
        <v>25.79600141947482</v>
      </c>
      <c r="DC16" s="244">
        <f t="shared" si="24"/>
        <v>15.620019733976036</v>
      </c>
      <c r="DD16" s="244">
        <f t="shared" si="42"/>
        <v>15.306927912158841</v>
      </c>
      <c r="DE16" s="244">
        <f t="shared" si="43"/>
        <v>16.93442987616902</v>
      </c>
      <c r="DF16" s="244">
        <f t="shared" si="44"/>
        <v>16.604459390251634</v>
      </c>
      <c r="DG16" s="244">
        <f t="shared" si="45"/>
        <v>16.571480140100633</v>
      </c>
      <c r="DH16" s="244">
        <f t="shared" si="46"/>
        <v>16.743945973825134</v>
      </c>
      <c r="DI16" s="244">
        <f t="shared" si="47"/>
        <v>15.932524942399112</v>
      </c>
      <c r="DJ16" s="244">
        <f t="shared" si="48"/>
        <v>15.186813736417307</v>
      </c>
      <c r="DK16" s="244">
        <f t="shared" si="49"/>
        <v>14.772605524272109</v>
      </c>
      <c r="DL16" s="244">
        <f t="shared" si="50"/>
        <v>13.483339866270057</v>
      </c>
      <c r="DM16" s="244">
        <f t="shared" si="51"/>
        <v>12.185477266438951</v>
      </c>
      <c r="DO16" s="244">
        <f t="shared" si="25"/>
        <v>-1.634139840906073</v>
      </c>
      <c r="DP16" s="244">
        <f t="shared" si="26"/>
        <v>7.2598322621299332</v>
      </c>
      <c r="DQ16" s="244">
        <f t="shared" si="52"/>
        <v>7.0417001074387144</v>
      </c>
      <c r="DR16" s="244">
        <f t="shared" si="53"/>
        <v>5.5683859267983991</v>
      </c>
      <c r="DS16" s="244">
        <f t="shared" si="54"/>
        <v>5.4195224149360683</v>
      </c>
      <c r="DT16" s="244">
        <f t="shared" si="55"/>
        <v>5.4210690855194628</v>
      </c>
      <c r="DU16" s="244">
        <f t="shared" si="56"/>
        <v>4.0528011575698031</v>
      </c>
      <c r="DV16" s="244">
        <f t="shared" si="57"/>
        <v>4.0087889123614247</v>
      </c>
      <c r="DW16" s="244">
        <f t="shared" si="58"/>
        <v>4.0374862151127928</v>
      </c>
      <c r="DX16" s="244">
        <f t="shared" si="59"/>
        <v>3.9766739490314933</v>
      </c>
      <c r="DY16" s="244">
        <f t="shared" si="60"/>
        <v>3.8198195197001468</v>
      </c>
      <c r="DZ16" s="244">
        <f t="shared" si="61"/>
        <v>2.8758936985879444</v>
      </c>
      <c r="EB16" s="244">
        <f t="shared" si="27"/>
        <v>-0.28811236776947169</v>
      </c>
      <c r="EC16" s="244">
        <f t="shared" si="28"/>
        <v>-3.8737877426226106</v>
      </c>
      <c r="ED16" s="244">
        <f t="shared" si="62"/>
        <v>-2.1734743103511818</v>
      </c>
      <c r="EE16" s="244">
        <f t="shared" si="63"/>
        <v>-4.615500205159961</v>
      </c>
      <c r="EF16" s="244">
        <f t="shared" si="64"/>
        <v>1.2749071462355772</v>
      </c>
      <c r="EG16" s="244">
        <f t="shared" si="65"/>
        <v>0.16399205558602148</v>
      </c>
      <c r="EH16" s="244">
        <f t="shared" si="66"/>
        <v>-16.365819184565893</v>
      </c>
      <c r="EI16" s="244">
        <f t="shared" si="67"/>
        <v>-26.534594528848757</v>
      </c>
      <c r="EJ16" s="244">
        <f t="shared" si="68"/>
        <v>-35.238236824754694</v>
      </c>
      <c r="EK16" s="244">
        <f t="shared" si="69"/>
        <v>-43.037166378907663</v>
      </c>
      <c r="EL16" s="244">
        <f t="shared" si="70"/>
        <v>-48.132330056007866</v>
      </c>
      <c r="EM16" s="244">
        <f t="shared" si="71"/>
        <v>-53.791262969020373</v>
      </c>
    </row>
    <row r="17" spans="1:143">
      <c r="A17" s="71" t="s">
        <v>15</v>
      </c>
      <c r="B17" s="73"/>
      <c r="C17" s="73"/>
      <c r="D17" s="73"/>
      <c r="E17" s="73"/>
      <c r="F17" s="73"/>
      <c r="G17" s="73"/>
      <c r="H17" s="73"/>
      <c r="I17" s="73"/>
      <c r="J17" s="73"/>
      <c r="K17" s="73"/>
      <c r="L17" s="73"/>
      <c r="M17" s="70"/>
      <c r="O17" s="73">
        <f t="shared" si="72"/>
        <v>17.613828945881835</v>
      </c>
      <c r="P17" s="73">
        <f t="shared" si="73"/>
        <v>18.141982433146197</v>
      </c>
      <c r="Q17" s="73">
        <f t="shared" si="74"/>
        <v>-23.745808588857912</v>
      </c>
      <c r="R17" s="73">
        <f t="shared" si="75"/>
        <v>-22.661021334351261</v>
      </c>
      <c r="S17" s="73">
        <f t="shared" si="76"/>
        <v>-4.8715345332775115</v>
      </c>
      <c r="T17" s="73">
        <f t="shared" si="77"/>
        <v>5.5919052101511539</v>
      </c>
      <c r="U17" s="73">
        <f t="shared" si="78"/>
        <v>15.509244786553069</v>
      </c>
      <c r="V17" s="73">
        <f t="shared" si="79"/>
        <v>3.76980974316659</v>
      </c>
      <c r="W17" s="73">
        <f t="shared" si="80"/>
        <v>5.0527633714355602</v>
      </c>
      <c r="X17" s="73">
        <f t="shared" si="81"/>
        <v>5.7153397098644234</v>
      </c>
      <c r="Y17" s="73">
        <f t="shared" si="82"/>
        <v>5.7268689908838581</v>
      </c>
      <c r="Z17" s="73">
        <f t="shared" si="83"/>
        <v>-12.092658136486847</v>
      </c>
      <c r="AB17" s="73">
        <f t="shared" si="84"/>
        <v>-53.611911623438992</v>
      </c>
      <c r="AC17" s="73">
        <f t="shared" si="85"/>
        <v>6.7689964068683395</v>
      </c>
      <c r="AD17" s="73">
        <f t="shared" si="86"/>
        <v>72.446384674069662</v>
      </c>
      <c r="AE17" s="73">
        <f t="shared" si="87"/>
        <v>26.720591310476749</v>
      </c>
      <c r="AF17" s="73">
        <f t="shared" si="88"/>
        <v>20.071862110246116</v>
      </c>
      <c r="AG17" s="73">
        <f t="shared" si="89"/>
        <v>32.946058460129848</v>
      </c>
      <c r="AH17" s="73">
        <f t="shared" si="90"/>
        <v>21.198413143915261</v>
      </c>
      <c r="AI17" s="73">
        <f t="shared" si="91"/>
        <v>30.093013335045811</v>
      </c>
      <c r="AJ17" s="73">
        <f t="shared" si="92"/>
        <v>22.358692659232133</v>
      </c>
      <c r="AK17" s="73">
        <f t="shared" si="93"/>
        <v>24.500961441275848</v>
      </c>
      <c r="AL17" s="73">
        <f t="shared" si="94"/>
        <v>32.8706028055133</v>
      </c>
      <c r="AM17" s="73">
        <f t="shared" si="95"/>
        <v>34.123130411632928</v>
      </c>
      <c r="AN17" s="73"/>
      <c r="AO17" s="73">
        <f t="shared" si="96"/>
        <v>1697.9342513978047</v>
      </c>
      <c r="AP17" s="73">
        <f t="shared" si="97"/>
        <v>193.97601696623815</v>
      </c>
      <c r="AQ17" s="73">
        <f t="shared" si="98"/>
        <v>109.51729545063534</v>
      </c>
      <c r="AR17" s="73">
        <f t="shared" si="99"/>
        <v>96.045865016337416</v>
      </c>
      <c r="AS17" s="73">
        <f t="shared" si="100"/>
        <v>61.523721404761716</v>
      </c>
      <c r="AT17" s="73">
        <f t="shared" si="101"/>
        <v>40.345665828385421</v>
      </c>
      <c r="AU17" s="73">
        <f t="shared" si="102"/>
        <v>17.152986372367749</v>
      </c>
      <c r="AV17" s="73">
        <f t="shared" si="103"/>
        <v>7.6693215359809415</v>
      </c>
      <c r="AW17" s="73">
        <f t="shared" si="104"/>
        <v>2.2706110953744343</v>
      </c>
      <c r="AX17" s="73">
        <f t="shared" si="105"/>
        <v>-5.3317755667647475</v>
      </c>
      <c r="AY17" s="73">
        <f t="shared" si="106"/>
        <v>-11.243253846767516</v>
      </c>
      <c r="AZ17" s="73">
        <f t="shared" si="107"/>
        <v>-9.7113458061495521</v>
      </c>
      <c r="BB17" s="73">
        <f t="shared" si="108"/>
        <v>-55.715799205606814</v>
      </c>
      <c r="BC17" s="73">
        <f t="shared" si="109"/>
        <v>-36.897264235210393</v>
      </c>
      <c r="BD17" s="73">
        <f t="shared" si="110"/>
        <v>-30.105593105375988</v>
      </c>
      <c r="BE17" s="73">
        <f t="shared" si="111"/>
        <v>-30.980325118571599</v>
      </c>
      <c r="BF17" s="73">
        <f t="shared" si="112"/>
        <v>-25.835986017221003</v>
      </c>
      <c r="BG17" s="73">
        <f t="shared" si="113"/>
        <v>-35.557761440917261</v>
      </c>
      <c r="BH17" s="73">
        <f t="shared" si="114"/>
        <v>-26.699697977942336</v>
      </c>
      <c r="BI17" s="73">
        <f t="shared" si="115"/>
        <v>-24.068188730461642</v>
      </c>
      <c r="BJ17" s="73">
        <f t="shared" si="116"/>
        <v>-22.513007037114008</v>
      </c>
      <c r="BK17" s="73">
        <f t="shared" si="117"/>
        <v>-17.507405219305411</v>
      </c>
      <c r="BL17" s="73">
        <f t="shared" si="118"/>
        <v>-14.865994857897107</v>
      </c>
      <c r="BM17" s="73">
        <f t="shared" si="119"/>
        <v>-20.660285932246552</v>
      </c>
      <c r="BO17" s="73">
        <f t="shared" si="0"/>
        <v>-55.310595013113648</v>
      </c>
      <c r="BP17" s="73">
        <f t="shared" si="1"/>
        <v>-48.490905678488325</v>
      </c>
      <c r="BQ17" s="73">
        <f t="shared" si="2"/>
        <v>-52.895826461068893</v>
      </c>
      <c r="BR17" s="73">
        <f t="shared" si="3"/>
        <v>-38.78499813988622</v>
      </c>
      <c r="BS17" s="73">
        <f t="shared" si="4"/>
        <v>-30.482619311646104</v>
      </c>
      <c r="BT17" s="73">
        <f t="shared" si="5"/>
        <v>-26.313588761634236</v>
      </c>
      <c r="BU17" s="73">
        <f t="shared" si="6"/>
        <v>-15.658993700419103</v>
      </c>
      <c r="BV17" s="73">
        <f t="shared" si="7"/>
        <v>-16.138133450423453</v>
      </c>
      <c r="BW17" s="73">
        <f t="shared" si="8"/>
        <v>-21.847816143560962</v>
      </c>
      <c r="BX17" s="73">
        <f t="shared" si="9"/>
        <v>-19.682783349510885</v>
      </c>
      <c r="BY17" s="73">
        <f t="shared" si="10"/>
        <v>-19.335141780106909</v>
      </c>
      <c r="BZ17" s="73">
        <f t="shared" si="11"/>
        <v>-16.12100088822433</v>
      </c>
      <c r="CB17" s="244">
        <f t="shared" si="12"/>
        <v>40.789003352731527</v>
      </c>
      <c r="CC17" s="244">
        <f t="shared" si="13"/>
        <v>-10.041258283630711</v>
      </c>
      <c r="CD17" s="244">
        <f>+((CB42+CC42+CD42)/(BO42+BP42+BQ42))*100-100</f>
        <v>-22.951752966004676</v>
      </c>
      <c r="CE17" s="244">
        <f t="shared" si="15"/>
        <v>-20.094325312915558</v>
      </c>
      <c r="CF17" s="244">
        <f t="shared" si="16"/>
        <v>-22.672351624081927</v>
      </c>
      <c r="CG17" s="244">
        <f t="shared" si="17"/>
        <v>-12.921106638971054</v>
      </c>
      <c r="CH17" s="244">
        <f t="shared" si="18"/>
        <v>-25.247367095327959</v>
      </c>
      <c r="CI17" s="244">
        <f t="shared" si="19"/>
        <v>-18.835216012535938</v>
      </c>
      <c r="CJ17" s="244">
        <f t="shared" si="20"/>
        <v>-5.9625594290601072</v>
      </c>
      <c r="CK17" s="244">
        <f t="shared" si="29"/>
        <v>-12.149421240565033</v>
      </c>
      <c r="CL17" s="244">
        <f t="shared" si="30"/>
        <v>-8.5005103104832216</v>
      </c>
      <c r="CM17" s="244">
        <f t="shared" si="31"/>
        <v>-3.9087720104209325</v>
      </c>
      <c r="CN17" s="203"/>
      <c r="CO17" s="244">
        <f t="shared" si="21"/>
        <v>3.9371725368372523</v>
      </c>
      <c r="CP17" s="244">
        <f t="shared" si="22"/>
        <v>45.27227800633986</v>
      </c>
      <c r="CQ17" s="244">
        <f t="shared" si="32"/>
        <v>43.768341860124821</v>
      </c>
      <c r="CR17" s="244">
        <f t="shared" si="33"/>
        <v>27.895115582716883</v>
      </c>
      <c r="CS17" s="244">
        <f t="shared" si="34"/>
        <v>1.6577356168750299</v>
      </c>
      <c r="CT17" s="244">
        <f t="shared" si="35"/>
        <v>3.0099587729690569</v>
      </c>
      <c r="CU17" s="244">
        <f t="shared" si="36"/>
        <v>9.1836816727213204</v>
      </c>
      <c r="CV17" s="244">
        <f t="shared" si="37"/>
        <v>0.69595001631685705</v>
      </c>
      <c r="CW17" s="244">
        <f t="shared" si="38"/>
        <v>-0.85710122518121068</v>
      </c>
      <c r="CX17" s="244">
        <f t="shared" si="39"/>
        <v>5.2930154493394639</v>
      </c>
      <c r="CY17" s="244">
        <f t="shared" si="40"/>
        <v>3.1138039123328696</v>
      </c>
      <c r="CZ17" s="244">
        <f t="shared" si="41"/>
        <v>6.3420688606783671</v>
      </c>
      <c r="DB17" s="244">
        <f t="shared" si="23"/>
        <v>11.539751756317557</v>
      </c>
      <c r="DC17" s="244">
        <f t="shared" si="24"/>
        <v>-15.475969797305495</v>
      </c>
      <c r="DD17" s="244">
        <f t="shared" si="42"/>
        <v>-19.134423268568284</v>
      </c>
      <c r="DE17" s="244">
        <f t="shared" si="43"/>
        <v>-24.12224746644506</v>
      </c>
      <c r="DF17" s="244">
        <f t="shared" si="44"/>
        <v>0.71888551049732996</v>
      </c>
      <c r="DG17" s="244">
        <f t="shared" si="45"/>
        <v>19.820914585601557</v>
      </c>
      <c r="DH17" s="244">
        <f t="shared" si="46"/>
        <v>27.192001505182347</v>
      </c>
      <c r="DI17" s="244">
        <f t="shared" si="47"/>
        <v>31.709271844939678</v>
      </c>
      <c r="DJ17" s="244">
        <f t="shared" si="48"/>
        <v>25.503807841464933</v>
      </c>
      <c r="DK17" s="244">
        <f t="shared" si="49"/>
        <v>29.402723988481881</v>
      </c>
      <c r="DL17" s="244">
        <f t="shared" si="50"/>
        <v>26.956925345367466</v>
      </c>
      <c r="DM17" s="244">
        <f t="shared" si="51"/>
        <v>34.27154989680642</v>
      </c>
      <c r="DO17" s="244">
        <f t="shared" si="25"/>
        <v>-102.06551716790719</v>
      </c>
      <c r="DP17" s="244">
        <f t="shared" si="26"/>
        <v>-31.67178888651614</v>
      </c>
      <c r="DQ17" s="244">
        <f t="shared" si="52"/>
        <v>-12.652752408027823</v>
      </c>
      <c r="DR17" s="244">
        <f t="shared" si="53"/>
        <v>54.441261194225262</v>
      </c>
      <c r="DS17" s="244">
        <f t="shared" si="54"/>
        <v>39.172054940137599</v>
      </c>
      <c r="DT17" s="244">
        <f t="shared" si="55"/>
        <v>19.552886138183752</v>
      </c>
      <c r="DU17" s="244">
        <f t="shared" si="56"/>
        <v>-0.60329483047829058</v>
      </c>
      <c r="DV17" s="244">
        <f t="shared" si="57"/>
        <v>2.5383877272217319</v>
      </c>
      <c r="DW17" s="244">
        <f t="shared" si="58"/>
        <v>-0.27535021902360768</v>
      </c>
      <c r="DX17" s="244">
        <f t="shared" si="59"/>
        <v>-3.691318096366885</v>
      </c>
      <c r="DY17" s="244">
        <f t="shared" si="60"/>
        <v>1.0026275219833707</v>
      </c>
      <c r="DZ17" s="244">
        <f t="shared" si="61"/>
        <v>9.5847621592069601</v>
      </c>
      <c r="EB17" s="244">
        <f>+EB42/DO42*100-100</f>
        <v>-4167.2252238204001</v>
      </c>
      <c r="EC17" s="244">
        <f t="shared" si="28"/>
        <v>78.189588619423688</v>
      </c>
      <c r="ED17" s="244">
        <f t="shared" si="62"/>
        <v>45.740555949682232</v>
      </c>
      <c r="EE17" s="244">
        <f t="shared" si="63"/>
        <v>-25.479030335129011</v>
      </c>
      <c r="EF17" s="244">
        <f t="shared" si="64"/>
        <v>-22.502161674006459</v>
      </c>
      <c r="EG17" s="244">
        <f>+((EB42+EC42+ED42+EE42+EF42+EG42)/(DO42+DP42+DQ42+DR42+DS42+DT42))*100-100</f>
        <v>-28.762442793769537</v>
      </c>
      <c r="EH17" s="244">
        <f t="shared" si="66"/>
        <v>-40.409210338900124</v>
      </c>
      <c r="EI17" s="244">
        <f t="shared" si="67"/>
        <v>-51.338350765353603</v>
      </c>
      <c r="EJ17" s="244">
        <f t="shared" si="68"/>
        <v>-58.573777963849729</v>
      </c>
      <c r="EK17" s="244">
        <f t="shared" si="69"/>
        <v>-65.650950391031415</v>
      </c>
      <c r="EL17" s="244">
        <f t="shared" si="70"/>
        <v>-70.734030787313202</v>
      </c>
      <c r="EM17" s="244">
        <f t="shared" si="71"/>
        <v>-80.299196688052334</v>
      </c>
    </row>
    <row r="18" spans="1:143">
      <c r="A18" s="75" t="s">
        <v>10</v>
      </c>
      <c r="B18" s="73"/>
      <c r="C18" s="73"/>
      <c r="D18" s="73"/>
      <c r="E18" s="73"/>
      <c r="F18" s="73"/>
      <c r="G18" s="73"/>
      <c r="H18" s="73"/>
      <c r="I18" s="73"/>
      <c r="J18" s="73"/>
      <c r="K18" s="73"/>
      <c r="L18" s="70"/>
      <c r="M18" s="70"/>
      <c r="O18" s="73">
        <f t="shared" si="72"/>
        <v>-25.456961766509906</v>
      </c>
      <c r="P18" s="73">
        <f t="shared" si="73"/>
        <v>-6.116106354020431</v>
      </c>
      <c r="Q18" s="73">
        <f t="shared" si="74"/>
        <v>-21.695446279057194</v>
      </c>
      <c r="R18" s="73">
        <f t="shared" si="75"/>
        <v>-14.409304274036742</v>
      </c>
      <c r="S18" s="73">
        <f t="shared" si="76"/>
        <v>-5.7794658629793503</v>
      </c>
      <c r="T18" s="73">
        <f t="shared" si="77"/>
        <v>-1.9218808622394903</v>
      </c>
      <c r="U18" s="73">
        <f t="shared" si="78"/>
        <v>6.4276815960280658</v>
      </c>
      <c r="V18" s="73">
        <f t="shared" si="79"/>
        <v>1.7151394050806772</v>
      </c>
      <c r="W18" s="73">
        <f t="shared" si="80"/>
        <v>2.8989467804163382</v>
      </c>
      <c r="X18" s="73">
        <f t="shared" si="81"/>
        <v>4.478209051837851</v>
      </c>
      <c r="Y18" s="73">
        <f t="shared" si="82"/>
        <v>6.304639749545089</v>
      </c>
      <c r="Z18" s="73">
        <f t="shared" si="83"/>
        <v>-8.3962141187794828</v>
      </c>
      <c r="AB18" s="73">
        <f t="shared" si="84"/>
        <v>-57.681230971776515</v>
      </c>
      <c r="AC18" s="73">
        <f t="shared" si="85"/>
        <v>-7.2108579516916933</v>
      </c>
      <c r="AD18" s="73">
        <f t="shared" si="86"/>
        <v>38.47344861417713</v>
      </c>
      <c r="AE18" s="73">
        <f t="shared" si="87"/>
        <v>8.6158289050220986</v>
      </c>
      <c r="AF18" s="73">
        <f t="shared" si="88"/>
        <v>10.904610138585412</v>
      </c>
      <c r="AG18" s="73">
        <f t="shared" si="89"/>
        <v>26.165911862412173</v>
      </c>
      <c r="AH18" s="73">
        <f t="shared" si="90"/>
        <v>17.424895716272331</v>
      </c>
      <c r="AI18" s="73">
        <f t="shared" si="91"/>
        <v>23.482501262694754</v>
      </c>
      <c r="AJ18" s="73">
        <f t="shared" si="92"/>
        <v>15.600827540067399</v>
      </c>
      <c r="AK18" s="73">
        <f t="shared" si="93"/>
        <v>17.200642899232648</v>
      </c>
      <c r="AL18" s="73">
        <f t="shared" si="94"/>
        <v>21.112402924707553</v>
      </c>
      <c r="AM18" s="73">
        <f t="shared" si="95"/>
        <v>21.265908687542805</v>
      </c>
      <c r="AN18" s="73"/>
      <c r="AO18" s="73">
        <f t="shared" si="96"/>
        <v>461.15266705554473</v>
      </c>
      <c r="AP18" s="73">
        <f t="shared" si="97"/>
        <v>133.36655984351736</v>
      </c>
      <c r="AQ18" s="73">
        <f t="shared" si="98"/>
        <v>89.171366892138707</v>
      </c>
      <c r="AR18" s="73">
        <f t="shared" si="99"/>
        <v>74.942508752402347</v>
      </c>
      <c r="AS18" s="73">
        <f t="shared" si="100"/>
        <v>46.271899040357567</v>
      </c>
      <c r="AT18" s="73">
        <f t="shared" si="101"/>
        <v>26.798040172982567</v>
      </c>
      <c r="AU18" s="73">
        <f t="shared" si="102"/>
        <v>8.7693868234900236</v>
      </c>
      <c r="AV18" s="73">
        <f t="shared" si="103"/>
        <v>-0.80942204639680426</v>
      </c>
      <c r="AW18" s="73">
        <f t="shared" si="104"/>
        <v>-4.3653429268196078</v>
      </c>
      <c r="AX18" s="73">
        <f t="shared" si="105"/>
        <v>-11.240984275234865</v>
      </c>
      <c r="AY18" s="73">
        <f t="shared" si="106"/>
        <v>-16.461935823665186</v>
      </c>
      <c r="AZ18" s="73">
        <f t="shared" si="107"/>
        <v>-14.508282499639307</v>
      </c>
      <c r="BB18" s="73">
        <f t="shared" si="108"/>
        <v>-55.530505913906801</v>
      </c>
      <c r="BC18" s="73">
        <f t="shared" si="109"/>
        <v>-36.885512160702035</v>
      </c>
      <c r="BD18" s="73">
        <f t="shared" si="110"/>
        <v>-30.038012134768323</v>
      </c>
      <c r="BE18" s="73">
        <f t="shared" si="111"/>
        <v>-30.802130009393707</v>
      </c>
      <c r="BF18" s="73">
        <f t="shared" si="112"/>
        <v>-26.25539028497505</v>
      </c>
      <c r="BG18" s="73">
        <f t="shared" si="113"/>
        <v>-35.810665383293497</v>
      </c>
      <c r="BH18" s="73">
        <f t="shared" si="114"/>
        <v>-25.558215236477082</v>
      </c>
      <c r="BI18" s="73">
        <f t="shared" si="115"/>
        <v>-23.119594532978468</v>
      </c>
      <c r="BJ18" s="73">
        <f t="shared" si="116"/>
        <v>-21.69963399395688</v>
      </c>
      <c r="BK18" s="73">
        <f t="shared" si="117"/>
        <v>-16.683139681134193</v>
      </c>
      <c r="BL18" s="73">
        <f t="shared" si="118"/>
        <v>-14.098152384568309</v>
      </c>
      <c r="BM18" s="73">
        <f t="shared" si="119"/>
        <v>-18.909812011730637</v>
      </c>
      <c r="BO18" s="73">
        <f t="shared" si="0"/>
        <v>-51.675224006226664</v>
      </c>
      <c r="BP18" s="73">
        <f t="shared" si="1"/>
        <v>-47.508364263087785</v>
      </c>
      <c r="BQ18" s="73">
        <f t="shared" si="2"/>
        <v>-52.49958124052791</v>
      </c>
      <c r="BR18" s="73">
        <f t="shared" si="3"/>
        <v>-38.699076615371752</v>
      </c>
      <c r="BS18" s="73">
        <f t="shared" si="4"/>
        <v>-30.424569599102753</v>
      </c>
      <c r="BT18" s="73">
        <f t="shared" si="5"/>
        <v>-25.627453522856726</v>
      </c>
      <c r="BU18" s="73">
        <f t="shared" si="6"/>
        <v>-16.777412058754592</v>
      </c>
      <c r="BV18" s="73">
        <f t="shared" si="7"/>
        <v>-14.71795377969687</v>
      </c>
      <c r="BW18" s="73">
        <f t="shared" si="8"/>
        <v>-20.154258679150175</v>
      </c>
      <c r="BX18" s="73">
        <f t="shared" si="9"/>
        <v>-18.321225964644739</v>
      </c>
      <c r="BY18" s="73">
        <f t="shared" si="10"/>
        <v>-18.098093094985444</v>
      </c>
      <c r="BZ18" s="73">
        <f t="shared" si="11"/>
        <v>-16.167986998821732</v>
      </c>
      <c r="CB18" s="244">
        <f t="shared" si="12"/>
        <v>30.97325474556061</v>
      </c>
      <c r="CC18" s="244">
        <f t="shared" si="13"/>
        <v>-5.0419527866002909</v>
      </c>
      <c r="CD18" s="244">
        <f t="shared" si="14"/>
        <v>-18.012822072908591</v>
      </c>
      <c r="CE18" s="244">
        <f t="shared" si="15"/>
        <v>-17.151091429915567</v>
      </c>
      <c r="CF18" s="244">
        <f t="shared" si="16"/>
        <v>-20.686167951960229</v>
      </c>
      <c r="CG18" s="244">
        <f t="shared" si="17"/>
        <v>-12.107003649584442</v>
      </c>
      <c r="CH18" s="244">
        <f t="shared" si="18"/>
        <v>-24.610069661721951</v>
      </c>
      <c r="CI18" s="244">
        <f t="shared" si="19"/>
        <v>-20.543298939487826</v>
      </c>
      <c r="CJ18" s="244">
        <f t="shared" si="20"/>
        <v>-8.3787533368986971</v>
      </c>
      <c r="CK18" s="244">
        <f t="shared" si="29"/>
        <v>-13.646869254804955</v>
      </c>
      <c r="CL18" s="244">
        <f t="shared" si="30"/>
        <v>-9.9577046564242266</v>
      </c>
      <c r="CM18" s="244">
        <f t="shared" si="31"/>
        <v>-4.8270794518339102</v>
      </c>
      <c r="CN18" s="203"/>
      <c r="CO18" s="244">
        <f t="shared" si="21"/>
        <v>5.5538631497980049</v>
      </c>
      <c r="CP18" s="244">
        <f t="shared" si="22"/>
        <v>38.828312110269991</v>
      </c>
      <c r="CQ18" s="244">
        <f t="shared" si="32"/>
        <v>37.61564092467421</v>
      </c>
      <c r="CR18" s="244">
        <f t="shared" si="33"/>
        <v>25.215053991439135</v>
      </c>
      <c r="CS18" s="244">
        <f t="shared" si="34"/>
        <v>4.3924550293826741</v>
      </c>
      <c r="CT18" s="244">
        <f t="shared" si="35"/>
        <v>5.3313543229494655</v>
      </c>
      <c r="CU18" s="244">
        <f t="shared" si="36"/>
        <v>11.106694280560731</v>
      </c>
      <c r="CV18" s="244">
        <f t="shared" si="37"/>
        <v>2.281329449860209</v>
      </c>
      <c r="CW18" s="244">
        <f t="shared" si="38"/>
        <v>0.38811400340703983</v>
      </c>
      <c r="CX18" s="244">
        <f t="shared" si="39"/>
        <v>5.9747430763522118</v>
      </c>
      <c r="CY18" s="244">
        <f t="shared" si="40"/>
        <v>3.7237190885290659</v>
      </c>
      <c r="CZ18" s="244">
        <f t="shared" si="41"/>
        <v>6.2461542749692569</v>
      </c>
      <c r="DB18" s="244">
        <f t="shared" si="23"/>
        <v>9.0582417245473721</v>
      </c>
      <c r="DC18" s="244">
        <f t="shared" si="24"/>
        <v>-17.797124891328721</v>
      </c>
      <c r="DD18" s="244">
        <f t="shared" si="42"/>
        <v>-21.147583168165596</v>
      </c>
      <c r="DE18" s="244">
        <f t="shared" si="43"/>
        <v>-25.487682334455258</v>
      </c>
      <c r="DF18" s="244">
        <f t="shared" si="44"/>
        <v>-4.5492500401866636</v>
      </c>
      <c r="DG18" s="244">
        <f t="shared" si="45"/>
        <v>19.15707042474277</v>
      </c>
      <c r="DH18" s="244">
        <f t="shared" si="46"/>
        <v>26.247366603769279</v>
      </c>
      <c r="DI18" s="244">
        <f t="shared" si="47"/>
        <v>30.274749609099899</v>
      </c>
      <c r="DJ18" s="244">
        <f t="shared" si="48"/>
        <v>24.503403887451029</v>
      </c>
      <c r="DK18" s="244">
        <f t="shared" si="49"/>
        <v>28.520475551622638</v>
      </c>
      <c r="DL18" s="244">
        <f t="shared" si="50"/>
        <v>25.883606508670766</v>
      </c>
      <c r="DM18" s="244">
        <f t="shared" si="51"/>
        <v>34.301078386082281</v>
      </c>
      <c r="DO18" s="244">
        <f t="shared" si="25"/>
        <v>-54.420628455195747</v>
      </c>
      <c r="DP18" s="244">
        <f t="shared" si="26"/>
        <v>-12.039180386897769</v>
      </c>
      <c r="DQ18" s="244">
        <f t="shared" si="52"/>
        <v>0.21267757385552954</v>
      </c>
      <c r="DR18" s="244">
        <f t="shared" si="53"/>
        <v>62.911451563619124</v>
      </c>
      <c r="DS18" s="244">
        <f t="shared" si="54"/>
        <v>44.734408607350105</v>
      </c>
      <c r="DT18" s="244">
        <f t="shared" si="55"/>
        <v>18.509414171651372</v>
      </c>
      <c r="DU18" s="244">
        <f t="shared" si="56"/>
        <v>-0.78723480843197535</v>
      </c>
      <c r="DV18" s="244">
        <f t="shared" si="57"/>
        <v>6.8179578290611431</v>
      </c>
      <c r="DW18" s="244">
        <f t="shared" si="58"/>
        <v>3.3332824455896741</v>
      </c>
      <c r="DX18" s="244">
        <f t="shared" si="59"/>
        <v>-6.9512433694001174E-2</v>
      </c>
      <c r="DY18" s="244">
        <f t="shared" si="60"/>
        <v>4.4828974011999634</v>
      </c>
      <c r="DZ18" s="244">
        <f t="shared" si="61"/>
        <v>11.256044951557342</v>
      </c>
      <c r="EB18" s="244">
        <f t="shared" si="27"/>
        <v>85.378783971576269</v>
      </c>
      <c r="EC18" s="244">
        <f t="shared" si="28"/>
        <v>39.269072861272264</v>
      </c>
      <c r="ED18" s="244">
        <f t="shared" si="62"/>
        <v>27.154695416304662</v>
      </c>
      <c r="EE18" s="244">
        <f t="shared" si="63"/>
        <v>-28.912200379057325</v>
      </c>
      <c r="EF18" s="244">
        <f t="shared" si="64"/>
        <v>-25.151381170079446</v>
      </c>
      <c r="EG18" s="244">
        <f t="shared" si="65"/>
        <v>-30.248776613853238</v>
      </c>
      <c r="EH18" s="244">
        <f t="shared" si="66"/>
        <v>-41.388949700082435</v>
      </c>
      <c r="EI18" s="244">
        <f t="shared" si="67"/>
        <v>-53.795844020557482</v>
      </c>
      <c r="EJ18" s="244">
        <f t="shared" si="68"/>
        <v>-60.322457905042235</v>
      </c>
      <c r="EK18" s="244">
        <f t="shared" si="69"/>
        <v>-67.044890456981051</v>
      </c>
      <c r="EL18" s="244">
        <f t="shared" si="70"/>
        <v>-71.720077140899633</v>
      </c>
      <c r="EM18" s="244">
        <f t="shared" si="71"/>
        <v>-80.696192791206457</v>
      </c>
    </row>
    <row r="19" spans="1:143" ht="12.75" customHeight="1">
      <c r="A19" s="75" t="s">
        <v>11</v>
      </c>
      <c r="B19" s="73"/>
      <c r="C19" s="73"/>
      <c r="D19" s="73"/>
      <c r="E19" s="73"/>
      <c r="F19" s="73"/>
      <c r="G19" s="73"/>
      <c r="H19" s="73"/>
      <c r="I19" s="73"/>
      <c r="J19" s="73"/>
      <c r="K19" s="73"/>
      <c r="L19" s="70"/>
      <c r="M19" s="70"/>
      <c r="O19" s="73">
        <f t="shared" si="72"/>
        <v>-34.973414214034307</v>
      </c>
      <c r="P19" s="73">
        <f t="shared" si="73"/>
        <v>-35.50673113386425</v>
      </c>
      <c r="Q19" s="73">
        <f t="shared" si="74"/>
        <v>-15.772767586239084</v>
      </c>
      <c r="R19" s="73">
        <f t="shared" si="75"/>
        <v>30.293421566600045</v>
      </c>
      <c r="S19" s="73">
        <f t="shared" si="76"/>
        <v>-9.9274830181751383</v>
      </c>
      <c r="T19" s="73">
        <f t="shared" si="77"/>
        <v>-30.247999430587626</v>
      </c>
      <c r="U19" s="73">
        <f t="shared" si="78"/>
        <v>-35.817896159888932</v>
      </c>
      <c r="V19" s="73">
        <f t="shared" si="79"/>
        <v>-9.998482508680965</v>
      </c>
      <c r="W19" s="73">
        <f t="shared" si="80"/>
        <v>-10.315825481695228</v>
      </c>
      <c r="X19" s="73">
        <f t="shared" si="81"/>
        <v>-3.6848076413562865</v>
      </c>
      <c r="Y19" s="73">
        <f t="shared" si="82"/>
        <v>9.8299337563141194</v>
      </c>
      <c r="Z19" s="73">
        <f t="shared" si="83"/>
        <v>21.239997880345499</v>
      </c>
      <c r="AB19" s="73">
        <f t="shared" si="84"/>
        <v>-59.307459019540097</v>
      </c>
      <c r="AC19" s="73">
        <f t="shared" si="85"/>
        <v>-38.238212487596932</v>
      </c>
      <c r="AD19" s="73">
        <f t="shared" si="86"/>
        <v>-50.371314564398141</v>
      </c>
      <c r="AE19" s="73">
        <f t="shared" si="87"/>
        <v>-49.602327837051405</v>
      </c>
      <c r="AF19" s="73">
        <f t="shared" si="88"/>
        <v>-33.328237791932054</v>
      </c>
      <c r="AG19" s="73">
        <f t="shared" si="89"/>
        <v>-12.527879415151816</v>
      </c>
      <c r="AH19" s="73">
        <f t="shared" si="90"/>
        <v>-14.166571786405541</v>
      </c>
      <c r="AI19" s="73">
        <f t="shared" si="91"/>
        <v>-19.969055600737889</v>
      </c>
      <c r="AJ19" s="73">
        <f t="shared" si="92"/>
        <v>-32.967388330113351</v>
      </c>
      <c r="AK19" s="73">
        <f t="shared" si="93"/>
        <v>-35.67067536589667</v>
      </c>
      <c r="AL19" s="73">
        <f t="shared" si="94"/>
        <v>-47.950570523736012</v>
      </c>
      <c r="AM19" s="73">
        <f t="shared" si="95"/>
        <v>-53.47612678764991</v>
      </c>
      <c r="AN19" s="73"/>
      <c r="AO19" s="73">
        <f t="shared" si="96"/>
        <v>-102.28301886792453</v>
      </c>
      <c r="AP19" s="73">
        <f t="shared" si="97"/>
        <v>-99.178864691181715</v>
      </c>
      <c r="AQ19" s="73">
        <f t="shared" si="98"/>
        <v>-95.711892797319933</v>
      </c>
      <c r="AR19" s="73">
        <f t="shared" si="99"/>
        <v>-95.686892014836587</v>
      </c>
      <c r="AS19" s="73">
        <f t="shared" si="100"/>
        <v>-86.261941762413059</v>
      </c>
      <c r="AT19" s="73">
        <f t="shared" si="101"/>
        <v>-90.710978418465132</v>
      </c>
      <c r="AU19" s="73">
        <f t="shared" si="102"/>
        <v>-90.33535645829879</v>
      </c>
      <c r="AV19" s="73">
        <f t="shared" si="103"/>
        <v>-91.403075038417683</v>
      </c>
      <c r="AW19" s="73">
        <f t="shared" si="104"/>
        <v>-91.420536763068696</v>
      </c>
      <c r="AX19" s="73">
        <f t="shared" si="105"/>
        <v>-94.067877370127491</v>
      </c>
      <c r="AY19" s="73">
        <f t="shared" si="106"/>
        <v>-94.710828036188744</v>
      </c>
      <c r="AZ19" s="73">
        <f t="shared" si="107"/>
        <v>-94.899682571594724</v>
      </c>
      <c r="BB19" s="73">
        <f t="shared" si="108"/>
        <v>-122.00810743801654</v>
      </c>
      <c r="BC19" s="73">
        <f t="shared" si="109"/>
        <v>-20.742702898550718</v>
      </c>
      <c r="BD19" s="73">
        <f t="shared" si="110"/>
        <v>-3.2658854166683682E-2</v>
      </c>
      <c r="BE19" s="73">
        <f t="shared" si="111"/>
        <v>34.686434366380013</v>
      </c>
      <c r="BF19" s="73">
        <f t="shared" si="112"/>
        <v>-69.105195267588911</v>
      </c>
      <c r="BG19" s="73">
        <f t="shared" si="113"/>
        <v>-68.953728512220238</v>
      </c>
      <c r="BH19" s="73">
        <f t="shared" si="114"/>
        <v>138.01070543036755</v>
      </c>
      <c r="BI19" s="73">
        <f t="shared" si="115"/>
        <v>103.81955222400788</v>
      </c>
      <c r="BJ19" s="73">
        <f t="shared" si="116"/>
        <v>105.49588942223673</v>
      </c>
      <c r="BK19" s="73">
        <f t="shared" si="117"/>
        <v>167.69239634709629</v>
      </c>
      <c r="BL19" s="73">
        <f t="shared" si="118"/>
        <v>179.10009511477631</v>
      </c>
      <c r="BM19" s="73">
        <f t="shared" si="119"/>
        <v>500.41278902877173</v>
      </c>
      <c r="BO19" s="73">
        <f t="shared" si="0"/>
        <v>2572.7276124012901</v>
      </c>
      <c r="BP19" s="73">
        <f t="shared" si="1"/>
        <v>1027.0360604112068</v>
      </c>
      <c r="BQ19" s="73">
        <f t="shared" si="2"/>
        <v>70.505383021053859</v>
      </c>
      <c r="BR19" s="73">
        <f t="shared" si="3"/>
        <v>-22.517504329546554</v>
      </c>
      <c r="BS19" s="73">
        <f t="shared" si="4"/>
        <v>-16.187393716106186</v>
      </c>
      <c r="BT19" s="73">
        <f t="shared" si="5"/>
        <v>161.01392635253899</v>
      </c>
      <c r="BU19" s="73">
        <f t="shared" si="6"/>
        <v>-66.133985128340328</v>
      </c>
      <c r="BV19" s="73">
        <f t="shared" si="7"/>
        <v>56.082545307691277</v>
      </c>
      <c r="BW19" s="73">
        <f t="shared" si="8"/>
        <v>79.709442460106203</v>
      </c>
      <c r="BX19" s="73">
        <f t="shared" si="9"/>
        <v>75.532394871322111</v>
      </c>
      <c r="BY19" s="73">
        <f t="shared" si="10"/>
        <v>76.84446389164259</v>
      </c>
      <c r="BZ19" s="73">
        <f t="shared" si="11"/>
        <v>-18.00999610175981</v>
      </c>
      <c r="CB19" s="244">
        <f t="shared" si="12"/>
        <v>-87.50947683261505</v>
      </c>
      <c r="CC19" s="244">
        <f t="shared" si="13"/>
        <v>244.83677604076553</v>
      </c>
      <c r="CD19" s="244">
        <f t="shared" si="14"/>
        <v>405.54513547526943</v>
      </c>
      <c r="CE19" s="244">
        <f t="shared" si="15"/>
        <v>420.77193795763867</v>
      </c>
      <c r="CF19" s="244">
        <f t="shared" si="16"/>
        <v>383.35650762975729</v>
      </c>
      <c r="CG19" s="244">
        <f t="shared" si="17"/>
        <v>50.410450951689825</v>
      </c>
      <c r="CH19" s="244">
        <f t="shared" si="18"/>
        <v>45.431773184513304</v>
      </c>
      <c r="CI19" s="244">
        <f t="shared" si="19"/>
        <v>-66.295518221210102</v>
      </c>
      <c r="CJ19" s="244">
        <f t="shared" si="20"/>
        <v>-70.338513341593085</v>
      </c>
      <c r="CK19" s="244">
        <f t="shared" si="29"/>
        <v>-60.876897800310857</v>
      </c>
      <c r="CL19" s="244">
        <f t="shared" si="30"/>
        <v>-60.9711334999106</v>
      </c>
      <c r="CM19" s="244">
        <f t="shared" si="31"/>
        <v>-41.657163641240359</v>
      </c>
      <c r="CN19" s="203"/>
      <c r="CO19" s="244">
        <f t="shared" si="21"/>
        <v>225.51535323235845</v>
      </c>
      <c r="CP19" s="244">
        <f t="shared" si="22"/>
        <v>-45.195550225619193</v>
      </c>
      <c r="CQ19" s="244">
        <f t="shared" si="32"/>
        <v>-42.801481437224119</v>
      </c>
      <c r="CR19" s="244">
        <f t="shared" si="33"/>
        <v>-35.970350215458865</v>
      </c>
      <c r="CS19" s="244">
        <f t="shared" si="34"/>
        <v>93.392010492516135</v>
      </c>
      <c r="CT19" s="244">
        <f t="shared" si="35"/>
        <v>108.53759840977708</v>
      </c>
      <c r="CU19" s="244">
        <f t="shared" si="36"/>
        <v>119.74043156208444</v>
      </c>
      <c r="CV19" s="244">
        <f t="shared" si="37"/>
        <v>104.54383196867818</v>
      </c>
      <c r="CW19" s="244">
        <f t="shared" si="38"/>
        <v>101.62301236627863</v>
      </c>
      <c r="CX19" s="244">
        <f t="shared" si="39"/>
        <v>54.257125412986738</v>
      </c>
      <c r="CY19" s="244">
        <f t="shared" si="40"/>
        <v>53.781225454222806</v>
      </c>
      <c r="CZ19" s="244">
        <f t="shared" si="41"/>
        <v>-8.9558316625343082E-2</v>
      </c>
      <c r="DB19" s="244">
        <f t="shared" si="23"/>
        <v>-98.745837020609414</v>
      </c>
      <c r="DC19" s="244">
        <f t="shared" si="24"/>
        <v>-98.024113785724069</v>
      </c>
      <c r="DD19" s="244">
        <f t="shared" si="42"/>
        <v>-87.28381951409456</v>
      </c>
      <c r="DE19" s="244">
        <f t="shared" si="43"/>
        <v>-87.753096307210868</v>
      </c>
      <c r="DF19" s="244">
        <f t="shared" si="44"/>
        <v>-94.671890682970172</v>
      </c>
      <c r="DG19" s="244">
        <f t="shared" si="45"/>
        <v>4.5784035970268206</v>
      </c>
      <c r="DH19" s="244">
        <f t="shared" si="46"/>
        <v>-0.26779863649993274</v>
      </c>
      <c r="DI19" s="244">
        <f t="shared" si="47"/>
        <v>-15.278157336682881</v>
      </c>
      <c r="DJ19" s="244">
        <f t="shared" si="48"/>
        <v>-15.489481742297258</v>
      </c>
      <c r="DK19" s="244">
        <f t="shared" si="49"/>
        <v>-14.129916110388479</v>
      </c>
      <c r="DL19" s="244">
        <f t="shared" si="50"/>
        <v>-33.182999086039743</v>
      </c>
      <c r="DM19" s="244">
        <f t="shared" si="51"/>
        <v>36.377168820181424</v>
      </c>
      <c r="DO19" s="244">
        <f>+DO44/DB44*100-100</f>
        <v>184027.51436207583</v>
      </c>
      <c r="DP19" s="244">
        <f t="shared" si="26"/>
        <v>29015.659354660987</v>
      </c>
      <c r="DQ19" s="244">
        <f t="shared" si="52"/>
        <v>2687.9852387354545</v>
      </c>
      <c r="DR19" s="244">
        <f t="shared" si="53"/>
        <v>2455.991458273938</v>
      </c>
      <c r="DS19" s="244">
        <f t="shared" si="54"/>
        <v>1843.4949455757651</v>
      </c>
      <c r="DT19" s="244">
        <f t="shared" si="55"/>
        <v>-7.7462542796857434</v>
      </c>
      <c r="DU19" s="244">
        <f t="shared" si="56"/>
        <v>-7.3718572359724561</v>
      </c>
      <c r="DV19" s="244">
        <f t="shared" si="57"/>
        <v>218.08410526017997</v>
      </c>
      <c r="DW19" s="244">
        <f t="shared" si="58"/>
        <v>217.5711097243057</v>
      </c>
      <c r="DX19" s="244">
        <f t="shared" si="59"/>
        <v>263.78152182452982</v>
      </c>
      <c r="DY19" s="244">
        <f t="shared" si="60"/>
        <v>368.3942491315629</v>
      </c>
      <c r="DZ19" s="244">
        <f t="shared" si="61"/>
        <v>126.94644222918927</v>
      </c>
      <c r="EB19" s="244">
        <f>+EB44/DO44*100-100</f>
        <v>-98.935891829568618</v>
      </c>
      <c r="EC19" s="244">
        <f t="shared" si="28"/>
        <v>-95.778444774645521</v>
      </c>
      <c r="ED19" s="244">
        <f t="shared" si="62"/>
        <v>-94.494611462618963</v>
      </c>
      <c r="EE19" s="244">
        <f t="shared" si="63"/>
        <v>-87.521064277948582</v>
      </c>
      <c r="EF19" s="244">
        <f t="shared" si="64"/>
        <v>-86.499509721101717</v>
      </c>
      <c r="EG19" s="244">
        <f t="shared" si="65"/>
        <v>-78.714501176030325</v>
      </c>
      <c r="EH19" s="244">
        <f t="shared" si="66"/>
        <v>-79.024158966567924</v>
      </c>
      <c r="EI19" s="244">
        <f t="shared" si="67"/>
        <v>-92.903935210283578</v>
      </c>
      <c r="EJ19" s="244">
        <f t="shared" si="68"/>
        <v>-92.923038962170267</v>
      </c>
      <c r="EK19" s="244">
        <f t="shared" si="69"/>
        <v>-93.929427503562536</v>
      </c>
      <c r="EL19" s="244">
        <f t="shared" si="70"/>
        <v>-93.953233855979903</v>
      </c>
      <c r="EM19" s="244">
        <f t="shared" si="71"/>
        <v>-93.965871422676429</v>
      </c>
    </row>
    <row r="20" spans="1:143" ht="12.75" customHeight="1">
      <c r="A20" s="72"/>
      <c r="B20" s="73"/>
      <c r="C20" s="73"/>
      <c r="D20" s="73"/>
      <c r="E20" s="73"/>
      <c r="F20" s="73"/>
      <c r="G20" s="73"/>
      <c r="H20" s="73"/>
      <c r="I20" s="73"/>
      <c r="J20" s="73"/>
    </row>
    <row r="21" spans="1:143" ht="12.75" customHeight="1">
      <c r="A21" s="309" t="s">
        <v>72</v>
      </c>
      <c r="B21" s="309"/>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c r="BZ21" s="309"/>
      <c r="CA21" s="309"/>
      <c r="CB21" s="309"/>
      <c r="CC21" s="309"/>
      <c r="CD21" s="309"/>
      <c r="CE21" s="309"/>
      <c r="CF21" s="309"/>
      <c r="CG21" s="309"/>
      <c r="CH21" s="309"/>
      <c r="CI21" s="309"/>
      <c r="CJ21" s="309"/>
      <c r="CK21" s="309"/>
      <c r="CL21" s="309"/>
      <c r="CM21" s="309"/>
      <c r="CN21" s="309"/>
      <c r="CO21" s="309"/>
      <c r="CP21" s="309"/>
      <c r="CQ21" s="309"/>
      <c r="CR21" s="309"/>
      <c r="CS21" s="309"/>
      <c r="CT21" s="309"/>
      <c r="CU21" s="309"/>
      <c r="CV21" s="309"/>
      <c r="CW21" s="309"/>
      <c r="CX21" s="309"/>
      <c r="CY21" s="309"/>
      <c r="CZ21" s="309"/>
      <c r="DA21" s="309"/>
      <c r="DB21" s="309"/>
      <c r="DC21" s="309"/>
      <c r="DD21" s="309"/>
      <c r="DE21" s="309"/>
      <c r="DF21" s="309"/>
      <c r="DG21" s="309"/>
      <c r="DH21" s="309"/>
      <c r="DI21" s="309"/>
      <c r="DJ21" s="309"/>
      <c r="DK21" s="309"/>
      <c r="DL21" s="309"/>
      <c r="DM21" s="309"/>
      <c r="DN21" s="309"/>
      <c r="DO21" s="309"/>
      <c r="DP21" s="309"/>
      <c r="DQ21" s="309"/>
      <c r="DR21" s="309"/>
      <c r="DS21" s="309"/>
      <c r="DT21" s="309"/>
      <c r="DU21" s="309"/>
      <c r="DV21" s="309"/>
      <c r="DW21" s="309"/>
      <c r="DX21" s="309"/>
      <c r="DY21" s="309"/>
      <c r="DZ21" s="309"/>
      <c r="EA21" s="309"/>
      <c r="EB21" s="309"/>
      <c r="EC21" s="309"/>
      <c r="ED21" s="309"/>
      <c r="EE21" s="309"/>
      <c r="EF21" s="309"/>
      <c r="EG21" s="309"/>
      <c r="EH21" s="309"/>
      <c r="EI21" s="309"/>
      <c r="EJ21" s="309"/>
      <c r="EK21" s="309"/>
      <c r="EL21" s="309"/>
      <c r="EM21" s="309"/>
    </row>
    <row r="22" spans="1:143" ht="12.75" customHeight="1">
      <c r="A22" s="203" t="s">
        <v>140</v>
      </c>
      <c r="B22" s="89"/>
      <c r="C22" s="89"/>
      <c r="D22" s="76">
        <f t="shared" ref="D22:D32" si="120">+(+B36+D36+C36)/D$47*100</f>
        <v>29.073100806572903</v>
      </c>
      <c r="E22" s="89"/>
      <c r="F22" s="89"/>
      <c r="G22" s="76">
        <f>+(+B36+C36+D36+E36+G36+F36)/G$47*100</f>
        <v>24.359128009652974</v>
      </c>
      <c r="H22" s="89"/>
      <c r="I22" s="89"/>
      <c r="J22" s="76">
        <f>+(B36+C36+D36+E36+F36+G36+H36+J36+I36)/J$47*100</f>
        <v>19.921436538130845</v>
      </c>
      <c r="K22" s="89"/>
      <c r="L22" s="93"/>
      <c r="M22" s="76">
        <f>+(E36+F36+G36+H36+I36+J36+K36+M36+L36)/M$47*100</f>
        <v>15.849719971216308</v>
      </c>
      <c r="N22" s="76"/>
      <c r="O22" s="89"/>
      <c r="P22" s="89"/>
      <c r="Q22" s="76">
        <f t="shared" ref="Q22:Q32" si="121">+(+O36+Q36+P36)/Q$47*100</f>
        <v>28.835861596364538</v>
      </c>
      <c r="R22" s="89"/>
      <c r="S22" s="89"/>
      <c r="T22" s="76">
        <f>+(+O36+P36+Q36+R36+T36+S36)/T$47*100</f>
        <v>25.272798809444701</v>
      </c>
      <c r="U22" s="89"/>
      <c r="V22" s="89"/>
      <c r="W22" s="76">
        <f>+(O36+P36+Q36+R36+S36+T36+U36+W36+V36)/W$47*100</f>
        <v>20.377861872913684</v>
      </c>
      <c r="X22" s="89"/>
      <c r="Y22" s="93"/>
      <c r="Z22" s="76">
        <f>+(R36+S36+T36+U36+V36+W36+X36+Z36+Y36)/Z$47*100</f>
        <v>16.039027499254814</v>
      </c>
      <c r="AA22" s="93"/>
      <c r="AB22" s="89"/>
      <c r="AC22" s="89"/>
      <c r="AD22" s="76">
        <f t="shared" ref="AD22:AD32" si="122">+(+AB36+AD36+AC36)/AD$47*100</f>
        <v>26.791246910944881</v>
      </c>
      <c r="AE22" s="89"/>
      <c r="AF22" s="89"/>
      <c r="AG22" s="76">
        <f>+(+AB36+AC36+AD36+AE36+AG36+AF36)/AG$47*100</f>
        <v>24.946900327139453</v>
      </c>
      <c r="AH22" s="89"/>
      <c r="AI22" s="89"/>
      <c r="AJ22" s="76">
        <f>+(AB36+AC36+AD36+AE36+AF36+AG36+AH36+AJ36+AI36)/AJ$47*100</f>
        <v>21.314554893956654</v>
      </c>
      <c r="AK22" s="89"/>
      <c r="AL22" s="93"/>
      <c r="AM22" s="76">
        <f>+(AE36+AF36+AG36+AH36+AI36+AJ36+AK36+AM36+AL36)/AM$47*100</f>
        <v>16.224360567103094</v>
      </c>
      <c r="AN22" s="76"/>
      <c r="AO22" s="89"/>
      <c r="AP22" s="89"/>
      <c r="AQ22" s="76">
        <f t="shared" ref="AQ22:AQ32" si="123">+(+AO36+AQ36+AP36)/AQ$47*100</f>
        <v>28.141544207133656</v>
      </c>
      <c r="AR22" s="89"/>
      <c r="AS22" s="89"/>
      <c r="AT22" s="76">
        <f>+(+AO36+AP36+AQ36+AR36+AT36+AS36)/AT$47*100</f>
        <v>27.006546166062318</v>
      </c>
      <c r="AU22" s="89"/>
      <c r="AV22" s="89"/>
      <c r="AW22" s="76">
        <f>+(AO36+AP36+AQ36+AR36+AS36+AT36+AU36+AW36+AV36)/AW$47*100</f>
        <v>23.025004691169983</v>
      </c>
      <c r="AX22" s="89"/>
      <c r="AY22" s="93"/>
      <c r="AZ22" s="76">
        <f>+(AR36+AS36+AT36+AU36+AV36+AW36+AX36+AZ36+AY36)/AZ$47*100</f>
        <v>16.085667500146737</v>
      </c>
      <c r="BA22" s="93"/>
      <c r="BB22" s="89"/>
      <c r="BC22" s="89"/>
      <c r="BD22" s="76">
        <f t="shared" ref="BD22:BD32" si="124">+(+BB36+BD36+BC36)/BD$47*100</f>
        <v>27.871800074738228</v>
      </c>
      <c r="BE22" s="89"/>
      <c r="BF22" s="89"/>
      <c r="BG22" s="76">
        <f>+(+BB36+BC36+BD36+BE36+BG36+BF36)/BG$47*100</f>
        <v>26.421314524166874</v>
      </c>
      <c r="BH22" s="89"/>
      <c r="BI22" s="89"/>
      <c r="BJ22" s="76">
        <f t="shared" ref="BJ22:BJ32" si="125">+(BB36+BC36+BD36+BE36+BF36+BG36+BH36+BJ36+BI36)/BJ$47*100</f>
        <v>22.826533661999143</v>
      </c>
      <c r="BK22" s="89"/>
      <c r="BL22" s="93"/>
      <c r="BM22" s="76">
        <f>+(BE36+BF36+BG36+BH36+BI36+BJ36+BK36+BM36+BL36)/BM$47*100</f>
        <v>16.725534917117386</v>
      </c>
      <c r="BQ22" s="76">
        <f t="shared" ref="BQ22:BQ32" si="126">+(+BO36+BQ36+BP36)/BQ$47*100</f>
        <v>26.880557563913797</v>
      </c>
      <c r="BT22" s="76">
        <f>+(+BO36+BP36+BQ36+BR36+BT36+BS36)/BT$47*100</f>
        <v>25.762075401030749</v>
      </c>
      <c r="BW22" s="76">
        <f t="shared" ref="BW22:BW32" si="127">+(BO36+BP36+BQ36+BR36+BS36+BT36+BU36+BW36+BV36)/BW$47*100</f>
        <v>22.810424321527133</v>
      </c>
      <c r="BZ22" s="76">
        <f>+(BO36+BP36+BQ36+BR36+BS36+BT36+BU36+BV36+BW36+BX36+BZ36+BY36)/BZ$47*100</f>
        <v>22.150492018528155</v>
      </c>
      <c r="CD22" s="74">
        <f t="shared" ref="CD22:CD32" si="128">+(+CB36+CD36+CC36)/CD$47*100</f>
        <v>30.939292501890225</v>
      </c>
      <c r="CG22" s="74">
        <f>+(+CB36+CC36+CD36+CE36+CG36+CF36)/CG$47*100</f>
        <v>29.824833239145875</v>
      </c>
      <c r="CJ22" s="74">
        <f>+(CB36+CC36+CD36+CE36+CF36+CG36+CH36+CJ36+CI36)/CJ$47*100</f>
        <v>25.653984436744643</v>
      </c>
      <c r="CM22" s="74">
        <f>+(CB36+CC36+CD36+CE36+CF36+CG36+CH36+CI36+CJ36+CK36+CM36+CL36)/CM$47*100</f>
        <v>23.646910198503026</v>
      </c>
      <c r="CQ22" s="74">
        <f>+(+CO36+CQ36+CP36)/CQ$47*100</f>
        <v>29.98899831442462</v>
      </c>
      <c r="CT22" s="74">
        <f>+(CO36+CP36+CQ36+CR36+CT36+CS36)/CT$47*100</f>
        <v>29.378003283912101</v>
      </c>
      <c r="CW22" s="74">
        <f>+(CO36+CP36+CQ36+CR36+CS36+CT36+CU36+CW36+CV36)/CW$47*100</f>
        <v>25.227398175648286</v>
      </c>
      <c r="CZ22" s="74">
        <f>+(CO36+CP36+CQ36+CR36+CS36+CT36+CU36+CV36+CW36+CX36+CZ36+CY36)/CZ$47*100</f>
        <v>23.414919062131595</v>
      </c>
      <c r="DD22" s="74">
        <f>+(+DB36+DD36+DC36)/DD$47*100</f>
        <v>26.6333179271925</v>
      </c>
      <c r="DG22" s="74">
        <f>+(DB36+DC36+DD36+DE36+DG36+DF36)/DG$47*100</f>
        <v>25.529483935230047</v>
      </c>
      <c r="DJ22" s="74">
        <f>+(DB36+DC36+DD36+DE36+DF36+DG36+DH36+DJ36+DI36)/DJ$47*100</f>
        <v>22.602620133354844</v>
      </c>
      <c r="DM22" s="74">
        <f>+(DB36+DC36+DD36+DE36+DF36+DG36+DH36+DI36+DJ36+DK36+DM36+DL36)/DM$47*100</f>
        <v>21.451709569637977</v>
      </c>
      <c r="DQ22" s="74">
        <f>+(+DO36+DQ36+DP36)/DQ$47*100</f>
        <v>26.155366396570912</v>
      </c>
      <c r="DT22" s="74">
        <f>+(DO36+DP36+DQ36+DR36+DT36+DS36)/DT$47*100</f>
        <v>25.147151110605488</v>
      </c>
      <c r="DW22" s="74">
        <f>+(DO36+DP36+DQ36+DR36+DS36+DT36+DU36+DW36+DV36)/DW$47*100</f>
        <v>22.150249395276557</v>
      </c>
      <c r="DZ22" s="74">
        <f>+(DO36+DP36+DQ36+DR36+DS36+DT36+DU36+DV36+DW36+DX36+DZ36+DY36)/DZ$47*100</f>
        <v>21.411407123506095</v>
      </c>
      <c r="ED22" s="74">
        <f>+(+EB36+ED36+EC36)/ED$47*100</f>
        <v>25.724243783048539</v>
      </c>
      <c r="EG22" s="74">
        <f>+(EB36+EC36+ED36+EE36+EG36+EF36)/EG$47*100</f>
        <v>25.205408832909811</v>
      </c>
      <c r="EJ22" s="74">
        <f>+(EB36+EC36+ED36+EE36+EF36+EG36+EH36+EJ36+EI36)/EJ$47*100</f>
        <v>25.205408832909804</v>
      </c>
      <c r="EM22" s="74" t="e">
        <f>+(EB36+EC36+ED36+EE36+EF36+EG36+EH36+EI36+EJ36+EK36+EM36+EL36)/EM$47*100</f>
        <v>#DIV/0!</v>
      </c>
    </row>
    <row r="23" spans="1:143" ht="12.75" customHeight="1">
      <c r="A23" s="253" t="s">
        <v>139</v>
      </c>
      <c r="B23" s="89"/>
      <c r="C23" s="89"/>
      <c r="D23" s="76">
        <f t="shared" si="120"/>
        <v>26.748504300277332</v>
      </c>
      <c r="E23" s="89"/>
      <c r="F23" s="89"/>
      <c r="G23" s="76">
        <f>+(+B37+C37+D37+E37+G37+F37)/G$47*100</f>
        <v>22.601062515331702</v>
      </c>
      <c r="H23" s="89"/>
      <c r="I23" s="89"/>
      <c r="J23" s="76">
        <f>+(B37+C37+D37+E37+F37+G37+H37+J37+I37)/J$47*100</f>
        <v>18.901977851931612</v>
      </c>
      <c r="K23" s="89"/>
      <c r="L23" s="93"/>
      <c r="M23" s="76">
        <f>+(E37+F37+G37+H37+I37+J37+K37+M37+L37)/M$47*100</f>
        <v>15.131489912911617</v>
      </c>
      <c r="N23" s="76"/>
      <c r="O23" s="89"/>
      <c r="P23" s="89"/>
      <c r="Q23" s="76">
        <f t="shared" si="121"/>
        <v>28.355622120294971</v>
      </c>
      <c r="R23" s="89"/>
      <c r="S23" s="89"/>
      <c r="T23" s="76">
        <f>+(+O37+P37+Q37+R37+T37+S37)/T$47*100</f>
        <v>24.809016941923343</v>
      </c>
      <c r="U23" s="89"/>
      <c r="V23" s="89"/>
      <c r="W23" s="76">
        <f>+(O37+P37+Q37+R37+S37+T37+U37+W37+V37)/W$47*100</f>
        <v>19.885241236814942</v>
      </c>
      <c r="X23" s="89"/>
      <c r="Y23" s="93"/>
      <c r="Z23" s="76">
        <f>+(R37+S37+T37+U37+V37+W37+X37+Z37+Y37)/Z$47*100</f>
        <v>15.624346972709926</v>
      </c>
      <c r="AA23" s="93"/>
      <c r="AB23" s="89"/>
      <c r="AC23" s="89"/>
      <c r="AD23" s="76">
        <f t="shared" si="122"/>
        <v>25.108605527307432</v>
      </c>
      <c r="AE23" s="89"/>
      <c r="AF23" s="89"/>
      <c r="AG23" s="76">
        <f>+(+AB37+AC37+AD37+AE37+AG37+AF37)/AG$47*100</f>
        <v>23.889858798067305</v>
      </c>
      <c r="AH23" s="89"/>
      <c r="AI23" s="89"/>
      <c r="AJ23" s="76">
        <f>+(AB37+AC37+AD37+AE37+AF37+AG37+AH37+AJ37+AI37)/AJ$47*100</f>
        <v>20.461634136565625</v>
      </c>
      <c r="AK23" s="89"/>
      <c r="AL23" s="93"/>
      <c r="AM23" s="76">
        <f>+(AE37+AF37+AG37+AH37+AI37+AJ37+AK37+AM37+AL37)/AM$47*100</f>
        <v>15.436968078567602</v>
      </c>
      <c r="AN23" s="76"/>
      <c r="AO23" s="89"/>
      <c r="AP23" s="89"/>
      <c r="AQ23" s="76">
        <f t="shared" si="123"/>
        <v>26.998374248089746</v>
      </c>
      <c r="AR23" s="89"/>
      <c r="AS23" s="89"/>
      <c r="AT23" s="76">
        <f>+(+AO37+AP37+AQ37+AR37+AT37+AS37)/AT$47*100</f>
        <v>25.793072929427424</v>
      </c>
      <c r="AU23" s="89"/>
      <c r="AV23" s="89"/>
      <c r="AW23" s="76">
        <f>+(AO37+AP37+AQ37+AR37+AS37+AT37+AU37+AW37+AV37)/AW$47*100</f>
        <v>21.909730529920157</v>
      </c>
      <c r="AX23" s="89"/>
      <c r="AY23" s="93"/>
      <c r="AZ23" s="76">
        <f>+(AR37+AS37+AT37+AU37+AV37+AW37+AX37+AZ37+AY37)/AZ$47*100</f>
        <v>15.239248643447795</v>
      </c>
      <c r="BA23" s="93"/>
      <c r="BB23" s="89"/>
      <c r="BC23" s="89"/>
      <c r="BD23" s="76">
        <f t="shared" si="124"/>
        <v>27.110981375725622</v>
      </c>
      <c r="BE23" s="89"/>
      <c r="BF23" s="89"/>
      <c r="BG23" s="76">
        <f>+(+BB37+BC37+BD37+BE37+BG37+BF37)/BG$47*100</f>
        <v>25.439230298820011</v>
      </c>
      <c r="BH23" s="89"/>
      <c r="BI23" s="89"/>
      <c r="BJ23" s="76">
        <f t="shared" si="125"/>
        <v>21.75934069684018</v>
      </c>
      <c r="BK23" s="89"/>
      <c r="BL23" s="93"/>
      <c r="BM23" s="76">
        <f>+(BE37+BF37+BG37+BH37+BI37+BJ37+BK37+BM37+BL37)/BM$47*100</f>
        <v>15.540680912612928</v>
      </c>
      <c r="BQ23" s="76">
        <f t="shared" si="126"/>
        <v>26.213964848735376</v>
      </c>
      <c r="BT23" s="76">
        <f>+(+BO37+BP37+BQ37+BR37+BT37+BS37)/BT$47*100</f>
        <v>24.9815550512842</v>
      </c>
      <c r="BW23" s="76">
        <f t="shared" si="127"/>
        <v>22.134783874832571</v>
      </c>
      <c r="BZ23" s="76">
        <f t="shared" ref="BZ23:BZ32" si="129">+(BO37+BP37+BQ37+BR37+BS37+BT37+BU37+BV37+BW37+BX37+BZ37+BY37)/BZ$47*100</f>
        <v>21.308848773283923</v>
      </c>
      <c r="CD23" s="74">
        <f t="shared" si="128"/>
        <v>30.061739653851955</v>
      </c>
      <c r="CG23" s="74">
        <f>+(+CB37+CC37+CD37+CE37+CG37+CF37)/CG$47*100</f>
        <v>28.930746333056678</v>
      </c>
      <c r="CJ23" s="74">
        <f t="shared" ref="CJ23:CJ32" si="130">+(CB37+CC37+CD37+CE37+CF37+CG37+CH37+CJ37+CI37)/CJ$47*100</f>
        <v>24.825857259407698</v>
      </c>
      <c r="CM23" s="74">
        <f t="shared" ref="CM23:CM32" si="131">+(CB37+CC37+CD37+CE37+CF37+CG37+CH37+CI37+CJ37+CK37+CM37+CL37)/CM$47*100</f>
        <v>22.788099660207227</v>
      </c>
      <c r="CQ23" s="74">
        <f t="shared" ref="CQ23:CQ32" si="132">+(+CO37+CQ37+CP37)/CQ$47*100</f>
        <v>28.64416793114199</v>
      </c>
      <c r="CT23" s="74">
        <f t="shared" ref="CT23:CT32" si="133">+(CO37+CP37+CQ37+CR37+CT37+CS37)/CT$47*100</f>
        <v>28.394870959714343</v>
      </c>
      <c r="CW23" s="74">
        <f t="shared" ref="CW23:CW32" si="134">+(CO37+CP37+CQ37+CR37+CS37+CT37+CU37+CW37+CV37)/CW$47*100</f>
        <v>24.472961078974322</v>
      </c>
      <c r="CZ23" s="74">
        <f t="shared" ref="CZ23:CZ32" si="135">+(CO37+CP37+CQ37+CR37+CS37+CT37+CU37+CV37+CW37+CX37+CZ37+CY37)/CZ$47*100</f>
        <v>22.59271727941659</v>
      </c>
      <c r="DD23" s="74">
        <f>+(+DB37+DD37+DC37)/DD$47*100</f>
        <v>25.49509118314522</v>
      </c>
      <c r="DG23" s="74">
        <f t="shared" ref="DG23:DG32" si="136">+(DB37+DC37+DD37+DE37+DG37+DF37)/DG$47*100</f>
        <v>24.532482113611763</v>
      </c>
      <c r="DJ23" s="74">
        <f t="shared" ref="DJ23:DJ32" si="137">+(DB37+DC37+DD37+DE37+DF37+DG37+DH37+DJ37+DI37)/DJ$47*100</f>
        <v>21.626727650649475</v>
      </c>
      <c r="DM23" s="74">
        <f t="shared" ref="DM23:DM32" si="138">+(DB37+DC37+DD37+DE37+DF37+DG37+DH37+DI37+DJ37+DK37+DM37+DL37)/DM$47*100</f>
        <v>20.307215154368297</v>
      </c>
      <c r="DQ23" s="74">
        <f>+(+DO37+DQ37+DP37)/DQ$47*100</f>
        <v>24.667285387196237</v>
      </c>
      <c r="DT23" s="74">
        <f t="shared" ref="DT23:DT32" si="139">+(DO37+DP37+DQ37+DR37+DT37+DS37)/DT$47*100</f>
        <v>24.126502599567022</v>
      </c>
      <c r="DW23" s="74">
        <f t="shared" ref="DW23:DW32" si="140">+(DO37+DP37+DQ37+DR37+DS37+DT37+DU37+DW37+DV37)/DW$47*100</f>
        <v>21.179698085935524</v>
      </c>
      <c r="DZ23" s="74">
        <f t="shared" ref="DZ23:DZ32" si="141">+(DO37+DP37+DQ37+DR37+DS37+DT37+DU37+DV37+DW37+DX37+DZ37+DY37)/DZ$47*100</f>
        <v>20.315543346908665</v>
      </c>
      <c r="ED23" s="74">
        <f>+(+EB37+ED37+EC37)/ED$47*100</f>
        <v>24.882158132932886</v>
      </c>
      <c r="EG23" s="74">
        <f t="shared" ref="EG23:EG32" si="142">+(EB37+EC37+ED37+EE37+EG37+EF37)/EG$47*100</f>
        <v>24.47875820177736</v>
      </c>
      <c r="EJ23" s="74">
        <f t="shared" ref="EJ23:EJ32" si="143">+(EB37+EC37+ED37+EE37+EF37+EG37+EH37+EJ37+EI37)/EJ$47*100</f>
        <v>24.47875820177736</v>
      </c>
      <c r="EM23" s="74" t="e">
        <f t="shared" ref="EM23:EM32" si="144">+(EB37+EC37+ED37+EE37+EF37+EG37+EH37+EI37+EJ37+EK37+EM37+EL37)/EM$47*100</f>
        <v>#DIV/0!</v>
      </c>
    </row>
    <row r="24" spans="1:143" ht="12.75" customHeight="1">
      <c r="A24" s="77" t="s">
        <v>6</v>
      </c>
      <c r="B24" s="76"/>
      <c r="C24" s="89"/>
      <c r="D24" s="76">
        <f t="shared" si="120"/>
        <v>22.31151246453938</v>
      </c>
      <c r="E24" s="89"/>
      <c r="F24" s="89"/>
      <c r="G24" s="76">
        <f t="shared" ref="G24:G32" si="145">+(+B38+C38+D38+E38+G38+F38)/G$47*100</f>
        <v>19.007709527244948</v>
      </c>
      <c r="H24" s="89"/>
      <c r="I24" s="89"/>
      <c r="J24" s="76">
        <f t="shared" ref="J24:J32" si="146">+(B38+C38+D38+E38+F38+G38+H38+J38+I38)/J$47*100</f>
        <v>16.040971259685509</v>
      </c>
      <c r="K24" s="89"/>
      <c r="L24" s="93"/>
      <c r="M24" s="76">
        <f>+(+B38+C38+D38+E38+F38+G38+H38+I38+J38+K38+M38+L38)/M$47*100</f>
        <v>16.014478087300752</v>
      </c>
      <c r="N24" s="76"/>
      <c r="O24" s="76"/>
      <c r="P24" s="89"/>
      <c r="Q24" s="76">
        <f t="shared" si="121"/>
        <v>24.179646300250543</v>
      </c>
      <c r="R24" s="89"/>
      <c r="S24" s="89"/>
      <c r="T24" s="76">
        <f t="shared" ref="T24:T32" si="147">+(+O38+P38+Q38+R38+T38+S38)/T$47*100</f>
        <v>21.206976740592154</v>
      </c>
      <c r="U24" s="89"/>
      <c r="V24" s="89"/>
      <c r="W24" s="76">
        <f t="shared" ref="W24:W32" si="148">+(O38+P38+Q38+R38+S38+T38+U38+W38+V38)/W$47*100</f>
        <v>17.031768728993331</v>
      </c>
      <c r="X24" s="89"/>
      <c r="Y24" s="93"/>
      <c r="Z24" s="76">
        <f>+(+O38+P38+Q38+R38+S38+T38+U38+V38+W38+X38+Z38+Y38)/Z$47*100</f>
        <v>16.756298981600835</v>
      </c>
      <c r="AA24" s="93"/>
      <c r="AB24" s="76"/>
      <c r="AC24" s="89"/>
      <c r="AD24" s="76">
        <f t="shared" si="122"/>
        <v>20.747939178474372</v>
      </c>
      <c r="AE24" s="89"/>
      <c r="AF24" s="89"/>
      <c r="AG24" s="76">
        <f t="shared" ref="AG24:AG32" si="149">+(+AB38+AC38+AD38+AE38+AG38+AF38)/AG$47*100</f>
        <v>19.740533274962441</v>
      </c>
      <c r="AH24" s="89"/>
      <c r="AI24" s="89"/>
      <c r="AJ24" s="76">
        <f t="shared" ref="AJ24:AJ32" si="150">+(AB38+AC38+AD38+AE38+AF38+AG38+AH38+AJ38+AI38)/AJ$47*100</f>
        <v>16.986891089638892</v>
      </c>
      <c r="AK24" s="89"/>
      <c r="AL24" s="93"/>
      <c r="AM24" s="76">
        <f>+(+AB38+AC38+AD38+AE38+AF38+AG38+AH38+AI38+AJ38+AK38+AM38+AL38)/AM$47*100</f>
        <v>16.107755858623378</v>
      </c>
      <c r="AN24" s="76"/>
      <c r="AO24" s="76"/>
      <c r="AP24" s="89"/>
      <c r="AQ24" s="76">
        <f t="shared" si="123"/>
        <v>22.188481593641018</v>
      </c>
      <c r="AR24" s="89"/>
      <c r="AS24" s="89"/>
      <c r="AT24" s="76">
        <f t="shared" ref="AT24:AT32" si="151">+(+AO38+AP38+AQ38+AR38+AT38+AS38)/AT$47*100</f>
        <v>21.520774649397055</v>
      </c>
      <c r="AU24" s="89"/>
      <c r="AV24" s="89"/>
      <c r="AW24" s="76">
        <f t="shared" ref="AW24:AW32" si="152">+(AO38+AP38+AQ38+AR38+AS38+AT38+AU38+AW38+AV38)/AW$47*100</f>
        <v>18.294052614275738</v>
      </c>
      <c r="AX24" s="89"/>
      <c r="AY24" s="93"/>
      <c r="AZ24" s="76">
        <f>+(+AO38+AP38+AQ38+AR38+AS38+AT38+AU38+AV38+AW38+AX38+AZ38+AY38)/AZ$47*100</f>
        <v>16.442458906852305</v>
      </c>
      <c r="BA24" s="93"/>
      <c r="BB24" s="76"/>
      <c r="BC24" s="89"/>
      <c r="BD24" s="76">
        <f t="shared" si="124"/>
        <v>22.225775490307235</v>
      </c>
      <c r="BE24" s="89"/>
      <c r="BF24" s="89"/>
      <c r="BG24" s="76">
        <f t="shared" ref="BG24:BG32" si="153">+(+BB38+BC38+BD38+BE38+BG38+BF38)/BG$47*100</f>
        <v>21.177703263251026</v>
      </c>
      <c r="BH24" s="89"/>
      <c r="BI24" s="89"/>
      <c r="BJ24" s="76">
        <f t="shared" si="125"/>
        <v>18.163798419144879</v>
      </c>
      <c r="BK24" s="89"/>
      <c r="BL24" s="93"/>
      <c r="BM24" s="76">
        <f>+(+BB38+BC38+BD38+BE38+BF38+BG38+BH38+BI38+BJ38+BK38+BM38+BL38)/BM$47*100</f>
        <v>16.665808273973031</v>
      </c>
      <c r="BQ24" s="76">
        <f t="shared" si="126"/>
        <v>21.654599126074533</v>
      </c>
      <c r="BT24" s="76">
        <f t="shared" ref="BT24:BT32" si="154">+(+BO38+BP38+BQ38+BR38+BT38+BS38)/BT$47*100</f>
        <v>21.015663888289176</v>
      </c>
      <c r="BW24" s="76">
        <f t="shared" si="127"/>
        <v>18.733213930793816</v>
      </c>
      <c r="BZ24" s="76">
        <f t="shared" si="129"/>
        <v>18.082965126349691</v>
      </c>
      <c r="CD24" s="74">
        <f t="shared" si="128"/>
        <v>28.609962085688174</v>
      </c>
      <c r="CG24" s="74">
        <f t="shared" ref="CG24:CG32" si="155">+(+CB38+CC38+CD38+CE38+CG38+CF38)/CG$47*100</f>
        <v>28.058669013451542</v>
      </c>
      <c r="CJ24" s="74">
        <f t="shared" si="130"/>
        <v>24.300016232198825</v>
      </c>
      <c r="CM24" s="74">
        <f t="shared" si="131"/>
        <v>22.369450313994328</v>
      </c>
      <c r="CQ24" s="74">
        <f>+(+CO38+CQ38+CP38)/CQ$47*100</f>
        <v>28.528778190111726</v>
      </c>
      <c r="CT24" s="74">
        <f t="shared" si="133"/>
        <v>28.063866608538042</v>
      </c>
      <c r="CW24" s="74">
        <f t="shared" si="134"/>
        <v>24.222781102900452</v>
      </c>
      <c r="CZ24" s="74">
        <f t="shared" si="135"/>
        <v>22.333353154597109</v>
      </c>
      <c r="DD24" s="74">
        <f>+(+DB38+DD38+DC38)/DD$47*100</f>
        <v>25.49509118314522</v>
      </c>
      <c r="DG24" s="74">
        <f t="shared" si="136"/>
        <v>24.532482113611763</v>
      </c>
      <c r="DJ24" s="74">
        <f t="shared" si="137"/>
        <v>21.626727650649475</v>
      </c>
      <c r="DM24" s="74">
        <f t="shared" si="138"/>
        <v>20.307215154368297</v>
      </c>
      <c r="DQ24" s="74">
        <f>+(+DO38+DQ38+DP38)/DQ$47*100</f>
        <v>24.667285387196237</v>
      </c>
      <c r="DT24" s="74">
        <f t="shared" si="139"/>
        <v>24.126502599567022</v>
      </c>
      <c r="DW24" s="74">
        <f t="shared" si="140"/>
        <v>21.179698085935524</v>
      </c>
      <c r="DZ24" s="74">
        <f t="shared" si="141"/>
        <v>20.315543346908665</v>
      </c>
      <c r="ED24" s="74">
        <f>+(+EB38+ED38+EC38)/ED$47*100</f>
        <v>24.882158132932886</v>
      </c>
      <c r="EG24" s="74">
        <f t="shared" si="142"/>
        <v>24.47875820177736</v>
      </c>
      <c r="EJ24" s="74">
        <f t="shared" si="143"/>
        <v>24.47875820177736</v>
      </c>
      <c r="EM24" s="74" t="e">
        <f t="shared" si="144"/>
        <v>#DIV/0!</v>
      </c>
    </row>
    <row r="25" spans="1:143" ht="12.75" customHeight="1">
      <c r="A25" s="83" t="s">
        <v>7</v>
      </c>
      <c r="B25" s="89"/>
      <c r="C25" s="89"/>
      <c r="D25" s="76">
        <f t="shared" si="120"/>
        <v>10.557073684424944</v>
      </c>
      <c r="E25" s="89"/>
      <c r="F25" s="89"/>
      <c r="G25" s="76">
        <f t="shared" si="145"/>
        <v>8.765398461353243</v>
      </c>
      <c r="H25" s="89"/>
      <c r="I25" s="89"/>
      <c r="J25" s="76">
        <f t="shared" si="146"/>
        <v>7.638326299801272</v>
      </c>
      <c r="K25" s="89"/>
      <c r="L25" s="93"/>
      <c r="M25" s="76">
        <f t="shared" ref="M25:M32" si="156">+(E39+F39+G39+H39+I39+J39+K39+M39+L39)/M$47*100</f>
        <v>6.4597362053856449</v>
      </c>
      <c r="N25" s="76"/>
      <c r="O25" s="89"/>
      <c r="P25" s="89"/>
      <c r="Q25" s="76">
        <f t="shared" si="121"/>
        <v>11.61540965867713</v>
      </c>
      <c r="R25" s="89"/>
      <c r="S25" s="89"/>
      <c r="T25" s="76">
        <f t="shared" si="147"/>
        <v>10.162665953734628</v>
      </c>
      <c r="U25" s="89"/>
      <c r="V25" s="89"/>
      <c r="W25" s="76">
        <f t="shared" si="148"/>
        <v>8.2812177932842435</v>
      </c>
      <c r="X25" s="89"/>
      <c r="Y25" s="93"/>
      <c r="Z25" s="76">
        <f t="shared" ref="Z25:Z32" si="157">+(R39+S39+T39+U39+V39+W39+X39+Z39+Y39)/Z$47*100</f>
        <v>6.6454112960731528</v>
      </c>
      <c r="AA25" s="93"/>
      <c r="AB25" s="89"/>
      <c r="AC25" s="89"/>
      <c r="AD25" s="76">
        <f t="shared" si="122"/>
        <v>9.5437575466917686</v>
      </c>
      <c r="AE25" s="89"/>
      <c r="AF25" s="89"/>
      <c r="AG25" s="76">
        <f t="shared" si="149"/>
        <v>8.6710950144056866</v>
      </c>
      <c r="AH25" s="89"/>
      <c r="AI25" s="89"/>
      <c r="AJ25" s="76">
        <f t="shared" si="150"/>
        <v>7.8499797251783177</v>
      </c>
      <c r="AK25" s="89"/>
      <c r="AL25" s="93"/>
      <c r="AM25" s="76">
        <f t="shared" ref="AM25:AM32" si="158">+(AE39+AF39+AG39+AH39+AI39+AJ39+AK39+AM39+AL39)/AM$47*100</f>
        <v>6.1125452827191822</v>
      </c>
      <c r="AN25" s="76"/>
      <c r="AO25" s="89"/>
      <c r="AP25" s="89"/>
      <c r="AQ25" s="76">
        <f t="shared" si="123"/>
        <v>10.558569779200846</v>
      </c>
      <c r="AR25" s="89"/>
      <c r="AS25" s="89"/>
      <c r="AT25" s="76">
        <f t="shared" si="151"/>
        <v>10.355384929369702</v>
      </c>
      <c r="AU25" s="89"/>
      <c r="AV25" s="89"/>
      <c r="AW25" s="76">
        <f t="shared" si="152"/>
        <v>8.97512375583924</v>
      </c>
      <c r="AX25" s="89"/>
      <c r="AY25" s="93"/>
      <c r="AZ25" s="76">
        <f t="shared" ref="AZ25:AZ32" si="159">+(AR39+AS39+AT39+AU39+AV39+AW39+AX39+AZ39+AY39)/AZ$47*100</f>
        <v>6.3772679648213675</v>
      </c>
      <c r="BA25" s="93"/>
      <c r="BB25" s="89"/>
      <c r="BC25" s="89"/>
      <c r="BD25" s="76">
        <f t="shared" si="124"/>
        <v>10.636028195667441</v>
      </c>
      <c r="BE25" s="89"/>
      <c r="BF25" s="89"/>
      <c r="BG25" s="76">
        <f t="shared" si="153"/>
        <v>9.7590318427644469</v>
      </c>
      <c r="BH25" s="89"/>
      <c r="BI25" s="89"/>
      <c r="BJ25" s="76">
        <f t="shared" si="125"/>
        <v>8.6958244763750443</v>
      </c>
      <c r="BK25" s="89"/>
      <c r="BL25" s="93"/>
      <c r="BM25" s="76">
        <f t="shared" ref="BM25:BM32" si="160">+(BE39+BF39+BG39+BH39+BI39+BJ39+BK39+BM39+BL39)/BM$47*100</f>
        <v>6.3666272603687037</v>
      </c>
      <c r="BQ25" s="76">
        <f t="shared" si="126"/>
        <v>9.9878217931406201</v>
      </c>
      <c r="BT25" s="76">
        <f t="shared" si="154"/>
        <v>9.5400326764316592</v>
      </c>
      <c r="BW25" s="76">
        <f t="shared" si="127"/>
        <v>8.8676920146030227</v>
      </c>
      <c r="BZ25" s="76">
        <f t="shared" si="129"/>
        <v>8.6359192705391674</v>
      </c>
      <c r="CD25" s="74">
        <f t="shared" si="128"/>
        <v>12.773928731263073</v>
      </c>
      <c r="CG25" s="74">
        <f t="shared" si="155"/>
        <v>11.242837074359285</v>
      </c>
      <c r="CJ25" s="74">
        <f t="shared" si="130"/>
        <v>9.7055414797914015</v>
      </c>
      <c r="CM25" s="74">
        <f t="shared" si="131"/>
        <v>8.8133171494000671</v>
      </c>
      <c r="CQ25" s="74">
        <f t="shared" si="132"/>
        <v>11.595662540838486</v>
      </c>
      <c r="CT25" s="74">
        <f t="shared" si="133"/>
        <v>11.081098337401924</v>
      </c>
      <c r="CW25" s="74">
        <f t="shared" si="134"/>
        <v>9.767626025065832</v>
      </c>
      <c r="CZ25" s="74">
        <f t="shared" si="135"/>
        <v>8.9069850966071442</v>
      </c>
      <c r="DD25" s="74">
        <f t="shared" ref="DD25:DD32" si="161">+(+DB39+DD39+DC39)/DD$47*100</f>
        <v>10.049138746181583</v>
      </c>
      <c r="DG25" s="74">
        <f t="shared" si="136"/>
        <v>8.9756747791900136</v>
      </c>
      <c r="DJ25" s="74">
        <f t="shared" si="137"/>
        <v>8.138727068983032</v>
      </c>
      <c r="DM25" s="74">
        <f t="shared" si="138"/>
        <v>7.554447714171987</v>
      </c>
      <c r="DQ25" s="74">
        <f t="shared" ref="DQ25:DQ32" si="162">+(+DO39+DQ39+DP39)/DQ$47*100</f>
        <v>8.6211498060474305</v>
      </c>
      <c r="DT25" s="74">
        <f t="shared" si="139"/>
        <v>7.6673741683981573</v>
      </c>
      <c r="DW25" s="74">
        <f t="shared" si="140"/>
        <v>6.84168659054441</v>
      </c>
      <c r="DZ25" s="74">
        <f t="shared" si="141"/>
        <v>6.7553069838319795</v>
      </c>
      <c r="ED25" s="74">
        <f t="shared" ref="ED25:ED32" si="163">+(+EB39+ED39+EC39)/ED$47*100</f>
        <v>8.6687622049297079</v>
      </c>
      <c r="EG25" s="74">
        <f t="shared" si="142"/>
        <v>7.9236334118386571</v>
      </c>
      <c r="EJ25" s="74">
        <f t="shared" si="143"/>
        <v>7.9236334118386571</v>
      </c>
      <c r="EM25" s="74" t="e">
        <f t="shared" si="144"/>
        <v>#DIV/0!</v>
      </c>
    </row>
    <row r="26" spans="1:143" ht="12.75" customHeight="1">
      <c r="A26" s="77" t="s">
        <v>8</v>
      </c>
      <c r="B26" s="89"/>
      <c r="C26" s="89"/>
      <c r="D26" s="76">
        <f t="shared" si="120"/>
        <v>4.4369918357379561</v>
      </c>
      <c r="E26" s="89"/>
      <c r="F26" s="89"/>
      <c r="G26" s="76">
        <f t="shared" si="145"/>
        <v>3.5933529880867572</v>
      </c>
      <c r="H26" s="89"/>
      <c r="I26" s="89"/>
      <c r="J26" s="76">
        <f t="shared" si="146"/>
        <v>2.8610065922461003</v>
      </c>
      <c r="K26" s="89"/>
      <c r="L26" s="93"/>
      <c r="M26" s="76">
        <f t="shared" si="156"/>
        <v>2.1080986233249126</v>
      </c>
      <c r="N26" s="76"/>
      <c r="O26" s="89"/>
      <c r="P26" s="89"/>
      <c r="Q26" s="76">
        <f t="shared" si="121"/>
        <v>4.1759758200444255</v>
      </c>
      <c r="R26" s="89"/>
      <c r="S26" s="89"/>
      <c r="T26" s="76">
        <f t="shared" si="147"/>
        <v>3.6020402013311843</v>
      </c>
      <c r="U26" s="89"/>
      <c r="V26" s="89"/>
      <c r="W26" s="76">
        <f t="shared" si="148"/>
        <v>2.8534725078216066</v>
      </c>
      <c r="X26" s="89"/>
      <c r="Y26" s="93"/>
      <c r="Z26" s="76">
        <f t="shared" si="157"/>
        <v>2.3211467788657876</v>
      </c>
      <c r="AA26" s="93"/>
      <c r="AB26" s="89"/>
      <c r="AC26" s="89"/>
      <c r="AD26" s="76">
        <f t="shared" si="122"/>
        <v>4.360666348833055</v>
      </c>
      <c r="AE26" s="89"/>
      <c r="AF26" s="89"/>
      <c r="AG26" s="76">
        <f t="shared" si="149"/>
        <v>4.1493255231048636</v>
      </c>
      <c r="AH26" s="89"/>
      <c r="AI26" s="89"/>
      <c r="AJ26" s="76">
        <f t="shared" si="150"/>
        <v>3.4747430469267315</v>
      </c>
      <c r="AK26" s="89"/>
      <c r="AL26" s="93"/>
      <c r="AM26" s="76">
        <f t="shared" si="158"/>
        <v>2.5900741043483189</v>
      </c>
      <c r="AN26" s="76"/>
      <c r="AO26" s="89"/>
      <c r="AP26" s="89"/>
      <c r="AQ26" s="76">
        <f t="shared" si="123"/>
        <v>4.8098926544487277</v>
      </c>
      <c r="AR26" s="89"/>
      <c r="AS26" s="89"/>
      <c r="AT26" s="76">
        <f t="shared" si="151"/>
        <v>4.2722982800303742</v>
      </c>
      <c r="AU26" s="89"/>
      <c r="AV26" s="89"/>
      <c r="AW26" s="76">
        <f t="shared" si="152"/>
        <v>3.6156779156444196</v>
      </c>
      <c r="AX26" s="89"/>
      <c r="AY26" s="93"/>
      <c r="AZ26" s="76">
        <f t="shared" si="159"/>
        <v>2.2875099478709733</v>
      </c>
      <c r="BA26" s="93"/>
      <c r="BB26" s="89"/>
      <c r="BC26" s="89"/>
      <c r="BD26" s="76">
        <f t="shared" si="124"/>
        <v>4.8852058854183866</v>
      </c>
      <c r="BE26" s="89"/>
      <c r="BF26" s="89"/>
      <c r="BG26" s="76">
        <f t="shared" si="153"/>
        <v>4.2615270355689825</v>
      </c>
      <c r="BH26" s="89"/>
      <c r="BI26" s="89"/>
      <c r="BJ26" s="76">
        <f t="shared" si="125"/>
        <v>3.5955422776953063</v>
      </c>
      <c r="BK26" s="89"/>
      <c r="BL26" s="93"/>
      <c r="BM26" s="76">
        <f t="shared" si="160"/>
        <v>2.4760919470915614</v>
      </c>
      <c r="BQ26" s="76">
        <f t="shared" si="126"/>
        <v>4.5593657226608437</v>
      </c>
      <c r="BT26" s="76">
        <f t="shared" si="154"/>
        <v>3.965891162995022</v>
      </c>
      <c r="BW26" s="76">
        <f t="shared" si="127"/>
        <v>3.401569944038755</v>
      </c>
      <c r="BZ26" s="76">
        <f t="shared" si="129"/>
        <v>3.225883646934228</v>
      </c>
      <c r="CD26" s="74">
        <f t="shared" si="128"/>
        <v>1.4517775681637772</v>
      </c>
      <c r="CG26" s="74">
        <f t="shared" si="155"/>
        <v>0.87207731960512991</v>
      </c>
      <c r="CJ26" s="74">
        <f t="shared" si="130"/>
        <v>0.52584102720887382</v>
      </c>
      <c r="CM26" s="74">
        <f t="shared" si="131"/>
        <v>0.41864934621289657</v>
      </c>
      <c r="CQ26" s="74">
        <f t="shared" si="132"/>
        <v>0.1153897410302676</v>
      </c>
      <c r="CT26" s="74">
        <f t="shared" si="133"/>
        <v>0.33100435117630034</v>
      </c>
      <c r="CW26" s="74">
        <f t="shared" si="134"/>
        <v>0.2501799760738726</v>
      </c>
      <c r="CZ26" s="74">
        <f t="shared" si="135"/>
        <v>0.25936412481948323</v>
      </c>
      <c r="DD26" s="74">
        <f t="shared" si="161"/>
        <v>0.24727581471318646</v>
      </c>
      <c r="DG26" s="74">
        <f t="shared" si="136"/>
        <v>0.24882751040482634</v>
      </c>
      <c r="DJ26" s="74">
        <f t="shared" si="137"/>
        <v>0.21703473553262073</v>
      </c>
      <c r="DM26" s="74">
        <f t="shared" si="138"/>
        <v>0.21612456823597517</v>
      </c>
      <c r="DQ26" s="74">
        <f t="shared" si="162"/>
        <v>0.30707347519425859</v>
      </c>
      <c r="DT26" s="74">
        <f t="shared" si="139"/>
        <v>0.29789584925580087</v>
      </c>
      <c r="DW26" s="74">
        <f t="shared" si="140"/>
        <v>0.26477794977453034</v>
      </c>
      <c r="DZ26" s="74">
        <f t="shared" si="141"/>
        <v>0.26387108553849131</v>
      </c>
      <c r="ED26" s="74">
        <f t="shared" si="163"/>
        <v>0.33507499782900374</v>
      </c>
      <c r="EG26" s="74">
        <f t="shared" si="142"/>
        <v>0.32781736706085624</v>
      </c>
      <c r="EJ26" s="74">
        <f t="shared" si="143"/>
        <v>0.32781736706085624</v>
      </c>
      <c r="EM26" s="74" t="e">
        <f t="shared" si="144"/>
        <v>#DIV/0!</v>
      </c>
    </row>
    <row r="27" spans="1:143" ht="12.75" customHeight="1">
      <c r="A27" s="203" t="s">
        <v>101</v>
      </c>
      <c r="B27" s="89"/>
      <c r="C27" s="89"/>
      <c r="D27" s="76">
        <f t="shared" si="120"/>
        <v>23.667189917803128</v>
      </c>
      <c r="E27" s="89"/>
      <c r="F27" s="89"/>
      <c r="G27" s="76">
        <f t="shared" si="145"/>
        <v>20.147570055135294</v>
      </c>
      <c r="H27" s="89"/>
      <c r="I27" s="89"/>
      <c r="J27" s="76">
        <f t="shared" si="146"/>
        <v>16.075239391385328</v>
      </c>
      <c r="K27" s="89"/>
      <c r="L27" s="93"/>
      <c r="M27" s="76">
        <f t="shared" si="156"/>
        <v>12.602945647889294</v>
      </c>
      <c r="N27" s="76"/>
      <c r="O27" s="89"/>
      <c r="P27" s="89"/>
      <c r="Q27" s="76">
        <f t="shared" si="121"/>
        <v>25.186354777894149</v>
      </c>
      <c r="R27" s="89"/>
      <c r="S27" s="89"/>
      <c r="T27" s="76">
        <f t="shared" si="147"/>
        <v>21.976562874270002</v>
      </c>
      <c r="U27" s="89"/>
      <c r="V27" s="89"/>
      <c r="W27" s="76">
        <f t="shared" si="148"/>
        <v>17.72135546126238</v>
      </c>
      <c r="X27" s="89"/>
      <c r="Y27" s="93"/>
      <c r="Z27" s="76">
        <f t="shared" si="157"/>
        <v>14.074825271796001</v>
      </c>
      <c r="AA27" s="93"/>
      <c r="AB27" s="89"/>
      <c r="AC27" s="89"/>
      <c r="AD27" s="76">
        <f t="shared" si="122"/>
        <v>28.780130565615554</v>
      </c>
      <c r="AE27" s="89"/>
      <c r="AF27" s="89"/>
      <c r="AG27" s="76">
        <f t="shared" si="149"/>
        <v>27.605022070336112</v>
      </c>
      <c r="AH27" s="89"/>
      <c r="AI27" s="89"/>
      <c r="AJ27" s="76">
        <f t="shared" si="150"/>
        <v>23.719569006648104</v>
      </c>
      <c r="AK27" s="89"/>
      <c r="AL27" s="93"/>
      <c r="AM27" s="76">
        <f t="shared" si="158"/>
        <v>18.037245480163133</v>
      </c>
      <c r="AN27" s="76"/>
      <c r="AO27" s="89"/>
      <c r="AP27" s="89"/>
      <c r="AQ27" s="76">
        <f t="shared" si="123"/>
        <v>27.67547713981558</v>
      </c>
      <c r="AR27" s="89"/>
      <c r="AS27" s="89"/>
      <c r="AT27" s="76">
        <f t="shared" si="151"/>
        <v>25.996779105565171</v>
      </c>
      <c r="AU27" s="89"/>
      <c r="AV27" s="89"/>
      <c r="AW27" s="76">
        <f t="shared" si="152"/>
        <v>22.067708951436042</v>
      </c>
      <c r="AX27" s="89"/>
      <c r="AY27" s="93"/>
      <c r="AZ27" s="76">
        <f t="shared" si="159"/>
        <v>16.495005015018339</v>
      </c>
      <c r="BA27" s="93"/>
      <c r="BB27" s="89"/>
      <c r="BC27" s="89"/>
      <c r="BD27" s="76">
        <f t="shared" si="124"/>
        <v>26.29969857365171</v>
      </c>
      <c r="BE27" s="89"/>
      <c r="BF27" s="89"/>
      <c r="BG27" s="76">
        <f t="shared" si="153"/>
        <v>24.840665877632709</v>
      </c>
      <c r="BH27" s="89"/>
      <c r="BI27" s="89"/>
      <c r="BJ27" s="76">
        <f t="shared" si="125"/>
        <v>21.410065438451714</v>
      </c>
      <c r="BK27" s="89"/>
      <c r="BL27" s="93"/>
      <c r="BM27" s="76">
        <f t="shared" si="160"/>
        <v>16.454580602518469</v>
      </c>
      <c r="BQ27" s="76">
        <f t="shared" si="126"/>
        <v>26.260489197927388</v>
      </c>
      <c r="BT27" s="76">
        <f t="shared" si="154"/>
        <v>24.794124964677554</v>
      </c>
      <c r="BW27" s="76">
        <f t="shared" si="127"/>
        <v>21.47093364490842</v>
      </c>
      <c r="BZ27" s="76">
        <f t="shared" si="129"/>
        <v>21.041979470578056</v>
      </c>
      <c r="CD27" s="74">
        <f t="shared" si="128"/>
        <v>27.209507041549806</v>
      </c>
      <c r="CG27" s="74">
        <f t="shared" si="155"/>
        <v>26.094575114460511</v>
      </c>
      <c r="CJ27" s="74">
        <f t="shared" si="130"/>
        <v>22.085456661231913</v>
      </c>
      <c r="CM27" s="74">
        <f t="shared" si="131"/>
        <v>22.905946429198398</v>
      </c>
      <c r="CQ27" s="74">
        <f t="shared" si="132"/>
        <v>28.736080278504389</v>
      </c>
      <c r="CT27" s="74">
        <f t="shared" si="133"/>
        <v>26.798495845734582</v>
      </c>
      <c r="CW27" s="74">
        <f t="shared" si="134"/>
        <v>23.490564359286122</v>
      </c>
      <c r="CZ27" s="74">
        <f t="shared" si="135"/>
        <v>23.137719787988758</v>
      </c>
      <c r="DD27" s="74">
        <f t="shared" si="161"/>
        <v>28.091928970684339</v>
      </c>
      <c r="DG27" s="74">
        <f t="shared" si="136"/>
        <v>26.739665614353509</v>
      </c>
      <c r="DJ27" s="74">
        <f t="shared" si="137"/>
        <v>23.692037215389544</v>
      </c>
      <c r="DM27" s="74">
        <f t="shared" si="138"/>
        <v>23.361409127163686</v>
      </c>
      <c r="DQ27" s="74">
        <f t="shared" si="162"/>
        <v>29.332905320697257</v>
      </c>
      <c r="DT27" s="74">
        <f t="shared" si="139"/>
        <v>27.447488595768611</v>
      </c>
      <c r="DW27" s="74">
        <f t="shared" si="140"/>
        <v>24.285747141917057</v>
      </c>
      <c r="DZ27" s="74">
        <f t="shared" si="141"/>
        <v>23.863583376183698</v>
      </c>
      <c r="ED27" s="74">
        <f t="shared" si="163"/>
        <v>26.530189519078025</v>
      </c>
      <c r="EG27" s="74">
        <f t="shared" si="142"/>
        <v>25.669958305603373</v>
      </c>
      <c r="EJ27" s="74">
        <f t="shared" si="143"/>
        <v>25.669958305603373</v>
      </c>
      <c r="EM27" s="74" t="e">
        <f t="shared" si="144"/>
        <v>#DIV/0!</v>
      </c>
    </row>
    <row r="28" spans="1:143" ht="12.75" customHeight="1">
      <c r="A28" s="203" t="s">
        <v>9</v>
      </c>
      <c r="B28" s="89"/>
      <c r="C28" s="89"/>
      <c r="D28" s="76">
        <f t="shared" si="120"/>
        <v>2.9314743445958569</v>
      </c>
      <c r="E28" s="89"/>
      <c r="F28" s="89"/>
      <c r="G28" s="76">
        <f t="shared" si="145"/>
        <v>3.3560657423441054</v>
      </c>
      <c r="H28" s="89"/>
      <c r="I28" s="89"/>
      <c r="J28" s="76">
        <f t="shared" si="146"/>
        <v>3.8669670460810441</v>
      </c>
      <c r="K28" s="89"/>
      <c r="L28" s="93"/>
      <c r="M28" s="76">
        <f t="shared" si="156"/>
        <v>4.4112130397664426</v>
      </c>
      <c r="N28" s="76"/>
      <c r="O28" s="89"/>
      <c r="P28" s="89"/>
      <c r="Q28" s="76">
        <f t="shared" si="121"/>
        <v>1.8520382802198914</v>
      </c>
      <c r="R28" s="89"/>
      <c r="S28" s="89"/>
      <c r="T28" s="76">
        <f t="shared" si="147"/>
        <v>3.0249854348602132</v>
      </c>
      <c r="U28" s="89"/>
      <c r="V28" s="89"/>
      <c r="W28" s="76">
        <f t="shared" si="148"/>
        <v>3.4075332032749617</v>
      </c>
      <c r="X28" s="89"/>
      <c r="Y28" s="93"/>
      <c r="Z28" s="76">
        <f t="shared" si="157"/>
        <v>3.4629107739652025</v>
      </c>
      <c r="AA28" s="93"/>
      <c r="AB28" s="89"/>
      <c r="AC28" s="89"/>
      <c r="AD28" s="76">
        <f t="shared" si="122"/>
        <v>3.2960992742619175</v>
      </c>
      <c r="AE28" s="89"/>
      <c r="AF28" s="89"/>
      <c r="AG28" s="76">
        <f t="shared" si="149"/>
        <v>4.5137102499362136</v>
      </c>
      <c r="AH28" s="89"/>
      <c r="AI28" s="89"/>
      <c r="AJ28" s="76">
        <f t="shared" si="150"/>
        <v>4.9710610258773844</v>
      </c>
      <c r="AK28" s="89"/>
      <c r="AL28" s="93"/>
      <c r="AM28" s="76">
        <f t="shared" si="158"/>
        <v>5.1600840131510468</v>
      </c>
      <c r="AN28" s="76"/>
      <c r="AO28" s="89"/>
      <c r="AP28" s="89"/>
      <c r="AQ28" s="76">
        <f t="shared" si="123"/>
        <v>6.26392489577277</v>
      </c>
      <c r="AR28" s="89"/>
      <c r="AS28" s="89"/>
      <c r="AT28" s="76">
        <f t="shared" si="151"/>
        <v>5.7060476514881469</v>
      </c>
      <c r="AU28" s="89"/>
      <c r="AV28" s="89"/>
      <c r="AW28" s="76">
        <f t="shared" si="152"/>
        <v>4.6571546274092599</v>
      </c>
      <c r="AX28" s="89"/>
      <c r="AY28" s="93"/>
      <c r="AZ28" s="76">
        <f t="shared" si="159"/>
        <v>3.6692754326690169</v>
      </c>
      <c r="BA28" s="93"/>
      <c r="BB28" s="89"/>
      <c r="BC28" s="89"/>
      <c r="BD28" s="76">
        <f t="shared" si="124"/>
        <v>3.8934053074101445</v>
      </c>
      <c r="BE28" s="89"/>
      <c r="BF28" s="89"/>
      <c r="BG28" s="76">
        <f t="shared" si="153"/>
        <v>3.2958128679517316</v>
      </c>
      <c r="BH28" s="89"/>
      <c r="BI28" s="89"/>
      <c r="BJ28" s="76">
        <f t="shared" si="125"/>
        <v>3.2640645630827589</v>
      </c>
      <c r="BK28" s="89"/>
      <c r="BL28" s="93"/>
      <c r="BM28" s="76">
        <f t="shared" si="160"/>
        <v>2.7515980178804056</v>
      </c>
      <c r="BQ28" s="76">
        <f t="shared" si="126"/>
        <v>1.7036475335749874</v>
      </c>
      <c r="BT28" s="76">
        <f t="shared" si="154"/>
        <v>2.24475884878344</v>
      </c>
      <c r="BW28" s="76">
        <f t="shared" si="127"/>
        <v>2.3774586946574852</v>
      </c>
      <c r="BZ28" s="76">
        <f t="shared" si="129"/>
        <v>2.6791743663918663</v>
      </c>
      <c r="CD28" s="74">
        <f t="shared" si="128"/>
        <v>1.2081925823741817</v>
      </c>
      <c r="CG28" s="74">
        <f t="shared" si="155"/>
        <v>1.864534139872482</v>
      </c>
      <c r="CJ28" s="74">
        <f t="shared" si="130"/>
        <v>2.1186765823271978</v>
      </c>
      <c r="CM28" s="74">
        <f t="shared" si="131"/>
        <v>2.4086017447426284</v>
      </c>
      <c r="CQ28" s="74">
        <f t="shared" si="132"/>
        <v>1.6733709063920452</v>
      </c>
      <c r="CT28" s="74">
        <f t="shared" si="133"/>
        <v>1.8365438283173658</v>
      </c>
      <c r="CW28" s="74">
        <f t="shared" si="134"/>
        <v>1.9977043689991998</v>
      </c>
      <c r="CZ28" s="74">
        <f t="shared" si="135"/>
        <v>2.4184552205867722</v>
      </c>
      <c r="DD28" s="74">
        <f t="shared" si="161"/>
        <v>1.1472406691251162</v>
      </c>
      <c r="DG28" s="74">
        <f t="shared" si="136"/>
        <v>1.8835934428512262</v>
      </c>
      <c r="DJ28" s="74">
        <f t="shared" si="137"/>
        <v>2.1953021986970498</v>
      </c>
      <c r="DM28" s="74">
        <f t="shared" si="138"/>
        <v>2.9225630601922981</v>
      </c>
      <c r="DQ28" s="74">
        <f t="shared" si="162"/>
        <v>0.97751691036493304</v>
      </c>
      <c r="DT28" s="74">
        <f t="shared" si="139"/>
        <v>2.1926355944602429</v>
      </c>
      <c r="DW28" s="74">
        <f t="shared" si="140"/>
        <v>2.157029302257421</v>
      </c>
      <c r="DZ28" s="74">
        <f t="shared" si="141"/>
        <v>3.1800727990696358</v>
      </c>
      <c r="ED28" s="74">
        <f t="shared" si="163"/>
        <v>1.3171442585481696</v>
      </c>
      <c r="EG28" s="74">
        <f t="shared" si="142"/>
        <v>1.4584327348910255</v>
      </c>
      <c r="EJ28" s="74">
        <f t="shared" si="143"/>
        <v>1.4584327348910255</v>
      </c>
      <c r="EM28" s="74" t="e">
        <f t="shared" si="144"/>
        <v>#DIV/0!</v>
      </c>
    </row>
    <row r="29" spans="1:143" ht="12.75" customHeight="1">
      <c r="A29" s="75" t="s">
        <v>14</v>
      </c>
      <c r="B29" s="89"/>
      <c r="C29" s="89"/>
      <c r="D29" s="76">
        <f t="shared" si="120"/>
        <v>3.9463165840702965</v>
      </c>
      <c r="E29" s="89"/>
      <c r="F29" s="89"/>
      <c r="G29" s="76">
        <f t="shared" si="145"/>
        <v>4.2462957246837929</v>
      </c>
      <c r="H29" s="89"/>
      <c r="I29" s="89"/>
      <c r="J29" s="76">
        <f t="shared" si="146"/>
        <v>4.4972266991099188</v>
      </c>
      <c r="K29" s="89"/>
      <c r="L29" s="93"/>
      <c r="M29" s="76">
        <f t="shared" si="156"/>
        <v>4.8743787237439475</v>
      </c>
      <c r="N29" s="76"/>
      <c r="O29" s="89"/>
      <c r="P29" s="89"/>
      <c r="Q29" s="76">
        <f t="shared" si="121"/>
        <v>2.5602305903048221</v>
      </c>
      <c r="R29" s="89"/>
      <c r="S29" s="89"/>
      <c r="T29" s="76">
        <f t="shared" si="147"/>
        <v>3.5550406201272464</v>
      </c>
      <c r="U29" s="89"/>
      <c r="V29" s="89"/>
      <c r="W29" s="76">
        <f t="shared" si="148"/>
        <v>3.8816632359358021</v>
      </c>
      <c r="X29" s="89"/>
      <c r="Y29" s="93"/>
      <c r="Z29" s="76">
        <f t="shared" si="157"/>
        <v>4.0029660103520301</v>
      </c>
      <c r="AA29" s="93"/>
      <c r="AB29" s="89"/>
      <c r="AC29" s="89"/>
      <c r="AD29" s="76">
        <f t="shared" si="122"/>
        <v>3.6588265458844931</v>
      </c>
      <c r="AE29" s="89"/>
      <c r="AF29" s="89"/>
      <c r="AG29" s="76">
        <f t="shared" si="149"/>
        <v>5.0340963234145022</v>
      </c>
      <c r="AH29" s="89"/>
      <c r="AI29" s="89"/>
      <c r="AJ29" s="76">
        <f t="shared" si="150"/>
        <v>5.3499899668810986</v>
      </c>
      <c r="AK29" s="89"/>
      <c r="AL29" s="93"/>
      <c r="AM29" s="76">
        <f t="shared" si="158"/>
        <v>5.4418877526497997</v>
      </c>
      <c r="AN29" s="76"/>
      <c r="AO29" s="89"/>
      <c r="AP29" s="89"/>
      <c r="AQ29" s="76">
        <f t="shared" si="123"/>
        <v>6.2780331157397589</v>
      </c>
      <c r="AR29" s="89"/>
      <c r="AS29" s="89"/>
      <c r="AT29" s="76">
        <f t="shared" si="151"/>
        <v>5.749588646502227</v>
      </c>
      <c r="AU29" s="89"/>
      <c r="AV29" s="89"/>
      <c r="AW29" s="76">
        <f t="shared" si="152"/>
        <v>4.6869355814083598</v>
      </c>
      <c r="AX29" s="89"/>
      <c r="AY29" s="93"/>
      <c r="AZ29" s="76">
        <f t="shared" si="159"/>
        <v>3.68274552729671</v>
      </c>
      <c r="BA29" s="93"/>
      <c r="BB29" s="89"/>
      <c r="BC29" s="89"/>
      <c r="BD29" s="76">
        <f t="shared" si="124"/>
        <v>3.9059474292175969</v>
      </c>
      <c r="BE29" s="89"/>
      <c r="BF29" s="89"/>
      <c r="BG29" s="76">
        <f t="shared" si="153"/>
        <v>3.3079290093488201</v>
      </c>
      <c r="BH29" s="89"/>
      <c r="BI29" s="89"/>
      <c r="BJ29" s="76">
        <f t="shared" si="125"/>
        <v>3.3194188193547052</v>
      </c>
      <c r="BK29" s="89"/>
      <c r="BL29" s="93"/>
      <c r="BM29" s="76">
        <f t="shared" si="160"/>
        <v>2.8358454340157784</v>
      </c>
      <c r="BQ29" s="76">
        <f t="shared" si="126"/>
        <v>1.7235130496975681</v>
      </c>
      <c r="BT29" s="76">
        <f t="shared" si="154"/>
        <v>2.2739901234874704</v>
      </c>
      <c r="BW29" s="76">
        <f t="shared" si="127"/>
        <v>2.4701705000894951</v>
      </c>
      <c r="BZ29" s="76">
        <f t="shared" si="129"/>
        <v>2.7459758905167617</v>
      </c>
      <c r="CD29" s="74">
        <f t="shared" si="128"/>
        <v>1.3006312000895075</v>
      </c>
      <c r="CG29" s="74">
        <f t="shared" si="155"/>
        <v>1.9064726998247763</v>
      </c>
      <c r="CJ29" s="74">
        <f t="shared" si="130"/>
        <v>2.1447368479809517</v>
      </c>
      <c r="CM29" s="74">
        <f t="shared" si="131"/>
        <v>2.4450648947269995</v>
      </c>
      <c r="CQ29" s="74">
        <f t="shared" si="132"/>
        <v>1.7243076302219404</v>
      </c>
      <c r="CT29" s="74">
        <f t="shared" si="133"/>
        <v>1.9201714268486592</v>
      </c>
      <c r="CW29" s="74">
        <f t="shared" si="134"/>
        <v>2.0476760406659995</v>
      </c>
      <c r="CZ29" s="74">
        <f t="shared" si="135"/>
        <v>2.4528532062777377</v>
      </c>
      <c r="DD29" s="74">
        <f t="shared" si="161"/>
        <v>1.1527321101474248</v>
      </c>
      <c r="DG29" s="74">
        <f t="shared" si="136"/>
        <v>1.9584525902236238</v>
      </c>
      <c r="DJ29" s="74">
        <f t="shared" si="137"/>
        <v>2.2322799785949443</v>
      </c>
      <c r="DM29" s="74">
        <f t="shared" si="138"/>
        <v>2.9647828940505616</v>
      </c>
      <c r="DQ29" s="74">
        <f t="shared" si="162"/>
        <v>1.126864189286491</v>
      </c>
      <c r="DT29" s="74">
        <f t="shared" si="139"/>
        <v>2.2598787537982332</v>
      </c>
      <c r="DW29" s="74">
        <f t="shared" si="140"/>
        <v>2.2727313465495826</v>
      </c>
      <c r="DZ29" s="74">
        <f t="shared" si="141"/>
        <v>3.2752127451104589</v>
      </c>
      <c r="ED29" s="74">
        <f t="shared" si="163"/>
        <v>1.3247460146372485</v>
      </c>
      <c r="EG29" s="74">
        <f t="shared" si="142"/>
        <v>1.4717969318386335</v>
      </c>
      <c r="EJ29" s="74">
        <f t="shared" si="143"/>
        <v>1.4717969318386335</v>
      </c>
      <c r="EM29" s="74" t="e">
        <f t="shared" si="144"/>
        <v>#DIV/0!</v>
      </c>
    </row>
    <row r="30" spans="1:143" ht="12.75" customHeight="1">
      <c r="A30" s="75" t="s">
        <v>11</v>
      </c>
      <c r="B30" s="89"/>
      <c r="C30" s="89"/>
      <c r="D30" s="76">
        <f t="shared" si="120"/>
        <v>-1.0148422394744403</v>
      </c>
      <c r="E30" s="89"/>
      <c r="F30" s="89"/>
      <c r="G30" s="76">
        <f t="shared" si="145"/>
        <v>-0.89022998233968809</v>
      </c>
      <c r="H30" s="89"/>
      <c r="I30" s="89"/>
      <c r="J30" s="76">
        <f t="shared" si="146"/>
        <v>-0.63025965302887454</v>
      </c>
      <c r="K30" s="89"/>
      <c r="L30" s="93"/>
      <c r="M30" s="76">
        <f t="shared" si="156"/>
        <v>-0.46316568397750424</v>
      </c>
      <c r="N30" s="76"/>
      <c r="O30" s="89"/>
      <c r="P30" s="89"/>
      <c r="Q30" s="76">
        <f t="shared" si="121"/>
        <v>-0.70819231008493089</v>
      </c>
      <c r="R30" s="89"/>
      <c r="S30" s="89"/>
      <c r="T30" s="76">
        <f t="shared" si="147"/>
        <v>-0.53005518526703277</v>
      </c>
      <c r="U30" s="89"/>
      <c r="V30" s="89"/>
      <c r="W30" s="76">
        <f t="shared" si="148"/>
        <v>-0.47413003266084081</v>
      </c>
      <c r="X30" s="89"/>
      <c r="Y30" s="93"/>
      <c r="Z30" s="76">
        <f t="shared" si="157"/>
        <v>-0.54005523638682695</v>
      </c>
      <c r="AA30" s="93"/>
      <c r="AB30" s="89"/>
      <c r="AC30" s="89"/>
      <c r="AD30" s="76">
        <f t="shared" si="122"/>
        <v>-0.36272727162257568</v>
      </c>
      <c r="AE30" s="89"/>
      <c r="AF30" s="89"/>
      <c r="AG30" s="76">
        <f t="shared" si="149"/>
        <v>-0.52038607347828802</v>
      </c>
      <c r="AH30" s="89"/>
      <c r="AI30" s="89"/>
      <c r="AJ30" s="76">
        <f t="shared" si="150"/>
        <v>-0.37892894100371399</v>
      </c>
      <c r="AK30" s="89"/>
      <c r="AL30" s="93"/>
      <c r="AM30" s="76">
        <f t="shared" si="158"/>
        <v>-0.28180373949875392</v>
      </c>
      <c r="AN30" s="76"/>
      <c r="AO30" s="89"/>
      <c r="AP30" s="89"/>
      <c r="AQ30" s="76">
        <f t="shared" si="123"/>
        <v>-1.410821996698897E-2</v>
      </c>
      <c r="AR30" s="89"/>
      <c r="AS30" s="89"/>
      <c r="AT30" s="76">
        <f t="shared" si="151"/>
        <v>-4.3540995014079265E-2</v>
      </c>
      <c r="AU30" s="89"/>
      <c r="AV30" s="89"/>
      <c r="AW30" s="76">
        <f t="shared" si="152"/>
        <v>-2.9780953999100183E-2</v>
      </c>
      <c r="AX30" s="89"/>
      <c r="AY30" s="93"/>
      <c r="AZ30" s="76">
        <f t="shared" si="159"/>
        <v>-1.347009462769334E-2</v>
      </c>
      <c r="BA30" s="93"/>
      <c r="BB30" s="89"/>
      <c r="BC30" s="89"/>
      <c r="BD30" s="76">
        <f t="shared" si="124"/>
        <v>-1.2542121807452783E-2</v>
      </c>
      <c r="BE30" s="89"/>
      <c r="BF30" s="89"/>
      <c r="BG30" s="76">
        <f t="shared" si="153"/>
        <v>-1.2116141397088623E-2</v>
      </c>
      <c r="BH30" s="89"/>
      <c r="BI30" s="89"/>
      <c r="BJ30" s="76">
        <f t="shared" si="125"/>
        <v>-5.5354256271947289E-2</v>
      </c>
      <c r="BK30" s="89"/>
      <c r="BL30" s="93"/>
      <c r="BM30" s="76">
        <f t="shared" si="160"/>
        <v>-8.4247416135372621E-2</v>
      </c>
      <c r="BQ30" s="76">
        <f t="shared" si="126"/>
        <v>-1.9865516122580227E-2</v>
      </c>
      <c r="BT30" s="76">
        <f t="shared" si="154"/>
        <v>-2.923127470403053E-2</v>
      </c>
      <c r="BW30" s="76">
        <f t="shared" si="127"/>
        <v>-9.271180543201063E-2</v>
      </c>
      <c r="BZ30" s="76">
        <f t="shared" si="129"/>
        <v>-6.6801524124895442E-2</v>
      </c>
      <c r="CD30" s="74">
        <f t="shared" si="128"/>
        <v>-9.2438617715325674E-2</v>
      </c>
      <c r="CG30" s="74">
        <f t="shared" si="155"/>
        <v>-4.1938559952294105E-2</v>
      </c>
      <c r="CJ30" s="74">
        <f t="shared" si="130"/>
        <v>-2.6060265653753339E-2</v>
      </c>
      <c r="CM30" s="74">
        <f t="shared" si="131"/>
        <v>-3.6463149984370467E-2</v>
      </c>
      <c r="CQ30" s="74">
        <f t="shared" si="132"/>
        <v>-5.0936723829895517E-2</v>
      </c>
      <c r="CT30" s="74">
        <f t="shared" si="133"/>
        <v>-8.3627598531293534E-2</v>
      </c>
      <c r="CW30" s="74">
        <f t="shared" si="134"/>
        <v>-4.9971671666799493E-2</v>
      </c>
      <c r="CZ30" s="74">
        <f t="shared" si="135"/>
        <v>-3.4397985690965818E-2</v>
      </c>
      <c r="DD30" s="74">
        <f t="shared" si="161"/>
        <v>-5.4914410223085826E-3</v>
      </c>
      <c r="DG30" s="74">
        <f t="shared" si="136"/>
        <v>-7.4859147372397655E-2</v>
      </c>
      <c r="DJ30" s="74">
        <f t="shared" si="137"/>
        <v>-3.6977779897894671E-2</v>
      </c>
      <c r="DM30" s="74">
        <f t="shared" si="138"/>
        <v>-4.221983385826443E-2</v>
      </c>
      <c r="DQ30" s="74">
        <f t="shared" si="162"/>
        <v>-0.14934727892155783</v>
      </c>
      <c r="DT30" s="74">
        <f t="shared" si="139"/>
        <v>-6.7243159337990063E-2</v>
      </c>
      <c r="DW30" s="74">
        <f t="shared" si="140"/>
        <v>-0.11570204429216192</v>
      </c>
      <c r="DZ30" s="74">
        <f t="shared" si="141"/>
        <v>-9.513994604082246E-2</v>
      </c>
      <c r="ED30" s="74">
        <f t="shared" si="163"/>
        <v>-7.6017560890787577E-3</v>
      </c>
      <c r="EG30" s="74">
        <f t="shared" si="142"/>
        <v>-1.3364196947607989E-2</v>
      </c>
      <c r="EJ30" s="74">
        <f t="shared" si="143"/>
        <v>-1.3364196947607989E-2</v>
      </c>
      <c r="EM30" s="74" t="e">
        <f t="shared" si="144"/>
        <v>#DIV/0!</v>
      </c>
    </row>
    <row r="31" spans="1:143" ht="12.75" customHeight="1">
      <c r="A31" s="203" t="s">
        <v>103</v>
      </c>
      <c r="B31" s="89"/>
      <c r="C31" s="89"/>
      <c r="D31" s="76">
        <f t="shared" si="120"/>
        <v>2.4744365441739178</v>
      </c>
      <c r="E31" s="89"/>
      <c r="F31" s="89"/>
      <c r="G31" s="76">
        <f t="shared" si="145"/>
        <v>0.85549221217357707</v>
      </c>
      <c r="H31" s="89"/>
      <c r="I31" s="89"/>
      <c r="J31" s="76">
        <f t="shared" si="146"/>
        <v>-2.0769899335525463E-2</v>
      </c>
      <c r="K31" s="89"/>
      <c r="L31" s="93"/>
      <c r="M31" s="76">
        <f t="shared" si="156"/>
        <v>-1.1644387164394283</v>
      </c>
      <c r="N31" s="76"/>
      <c r="O31" s="89"/>
      <c r="P31" s="89"/>
      <c r="Q31" s="76">
        <f t="shared" si="121"/>
        <v>1.7974685382504914</v>
      </c>
      <c r="R31" s="89"/>
      <c r="S31" s="89"/>
      <c r="T31" s="76">
        <f t="shared" si="147"/>
        <v>0.27125050031448472</v>
      </c>
      <c r="U31" s="89"/>
      <c r="V31" s="89"/>
      <c r="W31" s="76">
        <f t="shared" si="148"/>
        <v>-0.75102679162366148</v>
      </c>
      <c r="X31" s="89"/>
      <c r="Y31" s="93"/>
      <c r="Z31" s="76">
        <f t="shared" si="157"/>
        <v>-1.4987085465063945</v>
      </c>
      <c r="AA31" s="93"/>
      <c r="AB31" s="89"/>
      <c r="AC31" s="89"/>
      <c r="AD31" s="76">
        <f t="shared" si="122"/>
        <v>-5.2849829289325942</v>
      </c>
      <c r="AE31" s="89"/>
      <c r="AF31" s="89"/>
      <c r="AG31" s="76">
        <f t="shared" si="149"/>
        <v>-7.171831993132864</v>
      </c>
      <c r="AH31" s="89"/>
      <c r="AI31" s="89"/>
      <c r="AJ31" s="76">
        <f t="shared" si="150"/>
        <v>-7.3760751385688312</v>
      </c>
      <c r="AK31" s="89"/>
      <c r="AL31" s="93"/>
      <c r="AM31" s="76">
        <f t="shared" si="158"/>
        <v>-6.9729689262110899</v>
      </c>
      <c r="AN31" s="76"/>
      <c r="AO31" s="89"/>
      <c r="AP31" s="89"/>
      <c r="AQ31" s="76">
        <f t="shared" si="123"/>
        <v>-5.7978578284546964</v>
      </c>
      <c r="AR31" s="89"/>
      <c r="AS31" s="89"/>
      <c r="AT31" s="76">
        <f t="shared" si="151"/>
        <v>-4.6962805909910017</v>
      </c>
      <c r="AU31" s="89"/>
      <c r="AV31" s="89"/>
      <c r="AW31" s="76">
        <f t="shared" si="152"/>
        <v>-3.6998588876753176</v>
      </c>
      <c r="AX31" s="89"/>
      <c r="AY31" s="93"/>
      <c r="AZ31" s="76">
        <f t="shared" si="159"/>
        <v>-4.0786129475406163</v>
      </c>
      <c r="BA31" s="93"/>
      <c r="BB31" s="89"/>
      <c r="BC31" s="89"/>
      <c r="BD31" s="76">
        <f t="shared" si="124"/>
        <v>-2.3213038063236251</v>
      </c>
      <c r="BE31" s="89"/>
      <c r="BF31" s="89"/>
      <c r="BG31" s="76">
        <f t="shared" si="153"/>
        <v>-1.715164221417568</v>
      </c>
      <c r="BH31" s="89"/>
      <c r="BI31" s="89"/>
      <c r="BJ31" s="76">
        <f t="shared" si="125"/>
        <v>-1.847596339535327</v>
      </c>
      <c r="BK31" s="89"/>
      <c r="BL31" s="93"/>
      <c r="BM31" s="76">
        <f t="shared" si="160"/>
        <v>-2.4806437032814883</v>
      </c>
      <c r="BQ31" s="76">
        <f t="shared" si="126"/>
        <v>-1.0835791675885784</v>
      </c>
      <c r="BT31" s="76">
        <f t="shared" si="154"/>
        <v>-1.2768084124302403</v>
      </c>
      <c r="BW31" s="76">
        <f t="shared" si="127"/>
        <v>-1.0379680180387745</v>
      </c>
      <c r="BZ31" s="76">
        <f t="shared" si="129"/>
        <v>-1.5706618184417704</v>
      </c>
      <c r="CD31" s="74">
        <f t="shared" si="128"/>
        <v>2.5215928779662371</v>
      </c>
      <c r="CG31" s="74">
        <f t="shared" si="155"/>
        <v>1.8657239848128806</v>
      </c>
      <c r="CJ31" s="74">
        <f t="shared" si="130"/>
        <v>1.4258902999217649</v>
      </c>
      <c r="CM31" s="74">
        <f t="shared" si="131"/>
        <v>-1.6298412975503922</v>
      </c>
      <c r="CQ31" s="74">
        <f t="shared" si="132"/>
        <v>-0.42045287047180441</v>
      </c>
      <c r="CT31" s="74">
        <f t="shared" si="133"/>
        <v>0.74296360986014875</v>
      </c>
      <c r="CW31" s="74">
        <f t="shared" si="134"/>
        <v>-0.26087055263703884</v>
      </c>
      <c r="CZ31" s="74">
        <f t="shared" si="135"/>
        <v>-2.1412641093266656</v>
      </c>
      <c r="DD31" s="74">
        <f t="shared" si="161"/>
        <v>-2.6058517126169511</v>
      </c>
      <c r="DG31" s="74">
        <f t="shared" si="136"/>
        <v>-3.0937751219746836</v>
      </c>
      <c r="DJ31" s="74">
        <f t="shared" si="137"/>
        <v>-3.2847192807317489</v>
      </c>
      <c r="DM31" s="74">
        <f t="shared" si="138"/>
        <v>-4.8322626177180101</v>
      </c>
      <c r="DQ31" s="74">
        <f t="shared" si="162"/>
        <v>-4.155055834491284</v>
      </c>
      <c r="DT31" s="74">
        <f t="shared" si="139"/>
        <v>-4.4929730796233684</v>
      </c>
      <c r="DW31" s="74">
        <f t="shared" si="140"/>
        <v>-4.292527048897921</v>
      </c>
      <c r="DZ31" s="74">
        <f t="shared" si="141"/>
        <v>-5.6322490517472428</v>
      </c>
      <c r="ED31" s="74">
        <f t="shared" si="163"/>
        <v>-2.1230899945776533</v>
      </c>
      <c r="EG31" s="74">
        <f t="shared" si="142"/>
        <v>-1.9229822075845968</v>
      </c>
      <c r="EJ31" s="74">
        <f t="shared" si="143"/>
        <v>-1.9229822075845968</v>
      </c>
      <c r="EM31" s="74" t="e">
        <f t="shared" si="144"/>
        <v>#DIV/0!</v>
      </c>
    </row>
    <row r="32" spans="1:143" ht="15" customHeight="1">
      <c r="A32" s="289" t="s">
        <v>12</v>
      </c>
      <c r="B32" s="290"/>
      <c r="C32" s="290"/>
      <c r="D32" s="291">
        <f t="shared" si="120"/>
        <v>-1.1173544276004117</v>
      </c>
      <c r="E32" s="290"/>
      <c r="F32" s="290"/>
      <c r="G32" s="291">
        <f t="shared" si="145"/>
        <v>-0.95203654806528604</v>
      </c>
      <c r="H32" s="290"/>
      <c r="I32" s="290"/>
      <c r="J32" s="291">
        <f t="shared" si="146"/>
        <v>-0.79142292319501117</v>
      </c>
      <c r="K32" s="290"/>
      <c r="L32" s="292"/>
      <c r="M32" s="291">
        <f t="shared" si="156"/>
        <v>-0.58326919704971614</v>
      </c>
      <c r="N32" s="291"/>
      <c r="O32" s="290"/>
      <c r="P32" s="290"/>
      <c r="Q32" s="291">
        <f t="shared" si="121"/>
        <v>-1.1791299917912648</v>
      </c>
      <c r="R32" s="290"/>
      <c r="S32" s="290"/>
      <c r="T32" s="291">
        <f t="shared" si="147"/>
        <v>-1.0314437028371501</v>
      </c>
      <c r="U32" s="290"/>
      <c r="V32" s="290"/>
      <c r="W32" s="291">
        <f t="shared" si="148"/>
        <v>-0.82834075796723516</v>
      </c>
      <c r="X32" s="290"/>
      <c r="Y32" s="292"/>
      <c r="Z32" s="291">
        <f t="shared" si="157"/>
        <v>-0.57400206197609138</v>
      </c>
      <c r="AA32" s="292"/>
      <c r="AB32" s="290"/>
      <c r="AC32" s="290"/>
      <c r="AD32" s="291">
        <f t="shared" si="122"/>
        <v>-2.0632518591038469</v>
      </c>
      <c r="AE32" s="290"/>
      <c r="AF32" s="290"/>
      <c r="AG32" s="291">
        <f t="shared" si="149"/>
        <v>-1.4491717965231046</v>
      </c>
      <c r="AH32" s="290"/>
      <c r="AI32" s="290"/>
      <c r="AJ32" s="291">
        <f t="shared" si="150"/>
        <v>-2.7854283115256933</v>
      </c>
      <c r="AK32" s="290"/>
      <c r="AL32" s="292"/>
      <c r="AM32" s="291">
        <f t="shared" si="158"/>
        <v>-3.0525950527286447</v>
      </c>
      <c r="AN32" s="291"/>
      <c r="AO32" s="290"/>
      <c r="AP32" s="290"/>
      <c r="AQ32" s="291">
        <f t="shared" si="123"/>
        <v>-0.16024770213285799</v>
      </c>
      <c r="AR32" s="290"/>
      <c r="AS32" s="290"/>
      <c r="AT32" s="291">
        <f t="shared" si="151"/>
        <v>-1.1991920624285677</v>
      </c>
      <c r="AU32" s="290"/>
      <c r="AV32" s="290"/>
      <c r="AW32" s="291">
        <f t="shared" si="152"/>
        <v>-1.2340944616940555</v>
      </c>
      <c r="AX32" s="290"/>
      <c r="AY32" s="292"/>
      <c r="AZ32" s="291">
        <f t="shared" si="159"/>
        <v>-0.9794455390286817</v>
      </c>
      <c r="BA32" s="292"/>
      <c r="BB32" s="290"/>
      <c r="BC32" s="290"/>
      <c r="BD32" s="291">
        <f t="shared" si="124"/>
        <v>-1.6938580997444039</v>
      </c>
      <c r="BE32" s="290"/>
      <c r="BF32" s="290"/>
      <c r="BG32" s="291">
        <f t="shared" si="153"/>
        <v>-1.408514736343444</v>
      </c>
      <c r="BH32" s="290"/>
      <c r="BI32" s="290"/>
      <c r="BJ32" s="291">
        <f t="shared" si="125"/>
        <v>-0.87754603616240467</v>
      </c>
      <c r="BK32" s="290"/>
      <c r="BL32" s="292"/>
      <c r="BM32" s="291">
        <f t="shared" si="160"/>
        <v>-0.56401061270707553</v>
      </c>
      <c r="BN32" s="61"/>
      <c r="BO32" s="61"/>
      <c r="BP32" s="61"/>
      <c r="BQ32" s="291">
        <f t="shared" si="126"/>
        <v>-0.81085741385867194</v>
      </c>
      <c r="BR32" s="61"/>
      <c r="BS32" s="61"/>
      <c r="BT32" s="291">
        <f t="shared" si="154"/>
        <v>-1.1317473944034957</v>
      </c>
      <c r="BU32" s="61"/>
      <c r="BV32" s="61"/>
      <c r="BW32" s="291">
        <f t="shared" si="127"/>
        <v>-1.1805454522914141</v>
      </c>
      <c r="BX32" s="61"/>
      <c r="BY32" s="61"/>
      <c r="BZ32" s="291">
        <f t="shared" si="129"/>
        <v>-0.60356974756556447</v>
      </c>
      <c r="CA32" s="61"/>
      <c r="CB32" s="61"/>
      <c r="CC32" s="61"/>
      <c r="CD32" s="293">
        <f t="shared" si="128"/>
        <v>-1.960344361227407</v>
      </c>
      <c r="CE32" s="61"/>
      <c r="CF32" s="61"/>
      <c r="CG32" s="293">
        <f t="shared" si="155"/>
        <v>-1.4808995099589457</v>
      </c>
      <c r="CH32" s="61"/>
      <c r="CI32" s="61"/>
      <c r="CJ32" s="293">
        <f t="shared" si="130"/>
        <v>-1.2388992683085622</v>
      </c>
      <c r="CK32" s="61"/>
      <c r="CL32" s="61"/>
      <c r="CM32" s="293">
        <f t="shared" si="131"/>
        <v>-1.3905045337509752</v>
      </c>
      <c r="CN32" s="61"/>
      <c r="CO32" s="61"/>
      <c r="CP32" s="61"/>
      <c r="CQ32" s="293">
        <f t="shared" si="132"/>
        <v>-2.7068699836329824</v>
      </c>
      <c r="CR32" s="61"/>
      <c r="CS32" s="61"/>
      <c r="CT32" s="293">
        <f t="shared" si="133"/>
        <v>-2.2397756900853221</v>
      </c>
      <c r="CU32" s="61"/>
      <c r="CV32" s="61"/>
      <c r="CW32" s="293">
        <f t="shared" si="134"/>
        <v>-1.8216375409198529</v>
      </c>
      <c r="CX32" s="61"/>
      <c r="CY32" s="61"/>
      <c r="CZ32" s="293">
        <f t="shared" si="135"/>
        <v>-1.3660904071633182</v>
      </c>
      <c r="DA32" s="61"/>
      <c r="DB32" s="61"/>
      <c r="DC32" s="61"/>
      <c r="DD32" s="293">
        <f t="shared" si="161"/>
        <v>-1.3556310791410242</v>
      </c>
      <c r="DE32" s="61"/>
      <c r="DF32" s="61"/>
      <c r="DG32" s="293">
        <f t="shared" si="136"/>
        <v>-1.6954493871897947</v>
      </c>
      <c r="DH32" s="61"/>
      <c r="DI32" s="61"/>
      <c r="DJ32" s="293">
        <f t="shared" si="137"/>
        <v>-1.4750695509400098</v>
      </c>
      <c r="DK32" s="61"/>
      <c r="DL32" s="61"/>
      <c r="DM32" s="293">
        <f t="shared" si="138"/>
        <v>-1.0844798958066915</v>
      </c>
      <c r="DN32" s="61"/>
      <c r="DO32" s="61"/>
      <c r="DP32" s="61"/>
      <c r="DQ32" s="293">
        <f t="shared" si="162"/>
        <v>-1.3303285735827877</v>
      </c>
      <c r="DR32" s="61"/>
      <c r="DS32" s="61"/>
      <c r="DT32" s="293">
        <f t="shared" si="139"/>
        <v>-1.989732699614329</v>
      </c>
      <c r="DU32" s="61"/>
      <c r="DV32" s="61"/>
      <c r="DW32" s="293">
        <f t="shared" si="140"/>
        <v>-1.7998294403316442</v>
      </c>
      <c r="DX32" s="61"/>
      <c r="DY32" s="61"/>
      <c r="DZ32" s="293">
        <f t="shared" si="141"/>
        <v>-1.5319349105823235</v>
      </c>
      <c r="EA32" s="61"/>
      <c r="EB32" s="61"/>
      <c r="EC32" s="61"/>
      <c r="ED32" s="293">
        <f t="shared" si="163"/>
        <v>-1.0943546730849962</v>
      </c>
      <c r="EE32" s="61"/>
      <c r="EF32" s="61"/>
      <c r="EG32" s="293">
        <f t="shared" si="142"/>
        <v>-0.97983531384413325</v>
      </c>
      <c r="EH32" s="293"/>
      <c r="EI32" s="293"/>
      <c r="EJ32" s="293">
        <f t="shared" si="143"/>
        <v>-0.97983531384413325</v>
      </c>
      <c r="EK32" s="293"/>
      <c r="EL32" s="293"/>
      <c r="EM32" s="293" t="e">
        <f t="shared" si="144"/>
        <v>#DIV/0!</v>
      </c>
    </row>
    <row r="33" spans="1:143" ht="6" customHeight="1">
      <c r="A33" s="78"/>
      <c r="B33" s="74"/>
      <c r="C33" s="74"/>
      <c r="D33" s="74"/>
      <c r="E33" s="74"/>
      <c r="F33" s="74"/>
      <c r="G33" s="74"/>
      <c r="H33" s="74"/>
      <c r="I33" s="74"/>
      <c r="J33" s="74"/>
      <c r="K33" s="74"/>
      <c r="L33" s="74"/>
      <c r="M33" s="74"/>
      <c r="N33" s="74"/>
      <c r="O33" s="74"/>
      <c r="P33" s="74"/>
      <c r="Q33" s="74"/>
      <c r="R33" s="74"/>
      <c r="S33" s="74"/>
      <c r="T33" s="74"/>
      <c r="U33" s="74"/>
      <c r="V33" s="74"/>
      <c r="W33" s="74"/>
      <c r="X33" s="74"/>
      <c r="Y33" s="74"/>
      <c r="Z33" s="74"/>
      <c r="BB33" s="73"/>
      <c r="BC33" s="73"/>
      <c r="BD33" s="73"/>
      <c r="BE33" s="73"/>
      <c r="BF33" s="73"/>
      <c r="BG33" s="73"/>
      <c r="BH33" s="73"/>
      <c r="BI33" s="73"/>
      <c r="BJ33" s="73"/>
      <c r="BK33" s="73"/>
    </row>
    <row r="34" spans="1:143" ht="12.75" hidden="1" customHeight="1">
      <c r="A34" s="305" t="s">
        <v>25</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5"/>
      <c r="CL34" s="305"/>
      <c r="CM34" s="305"/>
      <c r="CN34" s="305"/>
      <c r="CO34" s="305"/>
    </row>
    <row r="35" spans="1:143" ht="6" hidden="1" customHeight="1">
      <c r="B35" s="80"/>
      <c r="C35" s="81"/>
      <c r="D35" s="81"/>
      <c r="E35" s="81"/>
      <c r="F35" s="81"/>
      <c r="G35" s="81"/>
      <c r="H35" s="81"/>
      <c r="I35" s="81"/>
      <c r="J35" s="81"/>
      <c r="K35" s="81"/>
      <c r="L35" s="81"/>
      <c r="M35" s="81"/>
    </row>
    <row r="36" spans="1:143" ht="12.75" hidden="1" customHeight="1">
      <c r="A36" s="71" t="s">
        <v>17</v>
      </c>
      <c r="B36" s="82">
        <v>41314.9</v>
      </c>
      <c r="C36" s="82">
        <v>40085.5</v>
      </c>
      <c r="D36" s="82">
        <v>41344.400000000001</v>
      </c>
      <c r="E36" s="82">
        <v>45452.5</v>
      </c>
      <c r="F36" s="82">
        <v>51975.199999999997</v>
      </c>
      <c r="G36" s="82">
        <v>48931.8</v>
      </c>
      <c r="H36" s="82">
        <v>49285.8</v>
      </c>
      <c r="I36" s="82">
        <v>51944.5</v>
      </c>
      <c r="J36" s="82">
        <v>54711.7</v>
      </c>
      <c r="K36" s="82">
        <v>60950.1</v>
      </c>
      <c r="L36" s="82">
        <v>69016.800000000003</v>
      </c>
      <c r="M36" s="82">
        <v>66884.2</v>
      </c>
      <c r="N36" s="82"/>
      <c r="O36" s="82">
        <v>44068.800000000003</v>
      </c>
      <c r="P36" s="82">
        <v>48382.886000000013</v>
      </c>
      <c r="Q36" s="82">
        <v>54489.837999999996</v>
      </c>
      <c r="R36" s="82">
        <v>56037.8</v>
      </c>
      <c r="S36" s="82">
        <v>63086.8</v>
      </c>
      <c r="T36" s="82">
        <v>61010.9</v>
      </c>
      <c r="U36" s="82">
        <v>62221.4</v>
      </c>
      <c r="V36" s="82">
        <v>67753.561000000002</v>
      </c>
      <c r="W36" s="82">
        <v>61284.831999999995</v>
      </c>
      <c r="X36" s="71">
        <v>72792.600000000006</v>
      </c>
      <c r="Y36" s="71">
        <v>66845.399999999994</v>
      </c>
      <c r="Z36" s="71">
        <v>61275.712999999996</v>
      </c>
      <c r="AA36" s="82"/>
      <c r="AB36" s="73">
        <v>38663.699999999997</v>
      </c>
      <c r="AC36" s="73">
        <v>39866</v>
      </c>
      <c r="AD36" s="73">
        <v>53754.6</v>
      </c>
      <c r="AE36" s="73">
        <v>54122.5</v>
      </c>
      <c r="AF36" s="73">
        <v>47724.854999999996</v>
      </c>
      <c r="AG36" s="73">
        <v>53527.61</v>
      </c>
      <c r="AH36" s="73">
        <v>56105.3</v>
      </c>
      <c r="AI36" s="73">
        <v>53794</v>
      </c>
      <c r="AJ36" s="73">
        <v>57173.46</v>
      </c>
      <c r="AK36" s="73">
        <v>59265.955000000009</v>
      </c>
      <c r="AL36" s="73">
        <v>59535.776000000005</v>
      </c>
      <c r="AM36" s="73">
        <v>68463.33</v>
      </c>
      <c r="AN36" s="73"/>
      <c r="AO36" s="71">
        <v>47970.19</v>
      </c>
      <c r="AP36" s="71">
        <v>49815.705000000009</v>
      </c>
      <c r="AQ36" s="71">
        <v>55406.400000000001</v>
      </c>
      <c r="AR36" s="71">
        <v>66417.007293000002</v>
      </c>
      <c r="AS36" s="71">
        <v>62739.110000000008</v>
      </c>
      <c r="AT36" s="71">
        <v>63374.457104899986</v>
      </c>
      <c r="AU36" s="71">
        <v>69362.555458600022</v>
      </c>
      <c r="AV36" s="71">
        <v>61322.634588000001</v>
      </c>
      <c r="AW36" s="71">
        <v>59830.807160099997</v>
      </c>
      <c r="AX36" s="71">
        <v>57766.663872800011</v>
      </c>
      <c r="AY36" s="71">
        <v>57005.961650499979</v>
      </c>
      <c r="AZ36" s="73">
        <v>58777.504025200004</v>
      </c>
      <c r="BA36" s="73"/>
      <c r="BB36" s="73">
        <v>55901.175028399994</v>
      </c>
      <c r="BC36" s="73">
        <v>54101.549215899999</v>
      </c>
      <c r="BD36" s="73">
        <v>60610.765092000001</v>
      </c>
      <c r="BE36" s="73">
        <v>72428.245145099994</v>
      </c>
      <c r="BF36" s="73">
        <v>64687.212647499997</v>
      </c>
      <c r="BG36" s="73">
        <v>69631.997968900003</v>
      </c>
      <c r="BH36" s="73">
        <v>78518.584623399991</v>
      </c>
      <c r="BI36" s="73">
        <v>66301.102655499984</v>
      </c>
      <c r="BJ36" s="73">
        <v>65564.785853499998</v>
      </c>
      <c r="BK36" s="73">
        <v>64934.467122900001</v>
      </c>
      <c r="BL36" s="73">
        <v>65624.101175599993</v>
      </c>
      <c r="BM36" s="73">
        <v>84191.113285300002</v>
      </c>
      <c r="BN36" s="73"/>
      <c r="BO36" s="73">
        <v>57660.932316600003</v>
      </c>
      <c r="BP36" s="73">
        <v>56108.961593200002</v>
      </c>
      <c r="BQ36" s="73">
        <v>63361.636841099986</v>
      </c>
      <c r="BR36" s="73">
        <v>71895.305312199998</v>
      </c>
      <c r="BS36" s="73">
        <v>75011.047801799985</v>
      </c>
      <c r="BT36" s="73">
        <v>74035.953410699993</v>
      </c>
      <c r="BU36" s="73">
        <v>80339.009942299992</v>
      </c>
      <c r="BV36" s="73">
        <v>78528.473294899988</v>
      </c>
      <c r="BW36" s="73">
        <v>73245.80783380002</v>
      </c>
      <c r="BX36" s="73">
        <v>78680.085891600014</v>
      </c>
      <c r="BY36" s="79">
        <v>85091.705620300025</v>
      </c>
      <c r="BZ36" s="79">
        <v>92220.687435</v>
      </c>
      <c r="CA36" s="79"/>
      <c r="CB36" s="239">
        <v>72673.852252599987</v>
      </c>
      <c r="CC36" s="239">
        <v>75616.021026399991</v>
      </c>
      <c r="CD36" s="239">
        <v>73210.431146899995</v>
      </c>
      <c r="CE36" s="239">
        <v>89784.235219099995</v>
      </c>
      <c r="CF36" s="239">
        <v>80012.621389599983</v>
      </c>
      <c r="CG36" s="239">
        <v>91842.917938800019</v>
      </c>
      <c r="CH36" s="239">
        <v>93828.656101400004</v>
      </c>
      <c r="CI36" s="239">
        <v>86491.916567799984</v>
      </c>
      <c r="CJ36" s="239">
        <v>84433.445583699999</v>
      </c>
      <c r="CK36" s="239">
        <v>82622.643047178441</v>
      </c>
      <c r="CL36" s="239">
        <v>86419.23055979998</v>
      </c>
      <c r="CM36" s="239">
        <v>94253.415897299972</v>
      </c>
      <c r="CN36" s="239">
        <v>74938.56617619998</v>
      </c>
      <c r="CO36" s="258">
        <v>74938.56617619998</v>
      </c>
      <c r="CP36" s="258">
        <v>74158.476372000019</v>
      </c>
      <c r="CQ36" s="258">
        <v>73763.469426600001</v>
      </c>
      <c r="CR36" s="258">
        <v>92364.076165599996</v>
      </c>
      <c r="CS36" s="258">
        <v>89092.476610900005</v>
      </c>
      <c r="CT36" s="258">
        <v>93380.565630000012</v>
      </c>
      <c r="CU36" s="258">
        <v>91990.758939100007</v>
      </c>
      <c r="CV36" s="258">
        <v>89915.474093600016</v>
      </c>
      <c r="CW36" s="258">
        <v>93704.6658838</v>
      </c>
      <c r="CX36" s="84">
        <v>100620.43364555</v>
      </c>
      <c r="CY36" s="84">
        <v>87365.044785999984</v>
      </c>
      <c r="CZ36" s="84">
        <v>99137.963062299998</v>
      </c>
      <c r="DA36" s="84"/>
      <c r="DB36" s="258">
        <v>75289.818515899999</v>
      </c>
      <c r="DC36" s="258">
        <v>72505.983414700007</v>
      </c>
      <c r="DD36" s="258">
        <v>85656.309161499987</v>
      </c>
      <c r="DE36" s="258">
        <v>91661.018975599989</v>
      </c>
      <c r="DF36" s="258">
        <v>86856.110629200019</v>
      </c>
      <c r="DG36" s="258">
        <v>93310.739350400007</v>
      </c>
      <c r="DH36" s="258">
        <v>93995.790580899993</v>
      </c>
      <c r="DI36" s="258">
        <v>100887.50168050002</v>
      </c>
      <c r="DJ36" s="258">
        <v>91121.7299661</v>
      </c>
      <c r="DK36" s="258">
        <v>91407.337910000002</v>
      </c>
      <c r="DL36" s="258">
        <v>99430.825745799986</v>
      </c>
      <c r="DM36" s="258">
        <v>97345.951635100006</v>
      </c>
      <c r="DN36" s="203"/>
      <c r="DO36" s="258">
        <v>74471.965482400003</v>
      </c>
      <c r="DP36" s="258">
        <v>76473.490778799998</v>
      </c>
      <c r="DQ36" s="258">
        <v>84078.871879199985</v>
      </c>
      <c r="DR36" s="258">
        <v>94230.393626799996</v>
      </c>
      <c r="DS36" s="258">
        <v>90384.002077099984</v>
      </c>
      <c r="DT36" s="258">
        <v>91524.524858599994</v>
      </c>
      <c r="DU36" s="258">
        <v>86568.337641100021</v>
      </c>
      <c r="DV36" s="258">
        <v>95029.319310900013</v>
      </c>
      <c r="DW36" s="258">
        <v>94273.205861799986</v>
      </c>
      <c r="DX36" s="258">
        <v>87414.6375271</v>
      </c>
      <c r="DY36" s="258">
        <v>95444.257779200023</v>
      </c>
      <c r="DZ36" s="258">
        <v>115208.8859617</v>
      </c>
      <c r="EB36" s="258">
        <v>79755.705345999973</v>
      </c>
      <c r="EC36" s="258">
        <v>79073.355407199982</v>
      </c>
      <c r="ED36" s="258">
        <v>91185.893544000035</v>
      </c>
      <c r="EE36" s="84">
        <v>106983.40412899999</v>
      </c>
      <c r="EF36" s="84">
        <v>93916.132869999987</v>
      </c>
      <c r="EG36" s="258">
        <v>97809.124196499994</v>
      </c>
      <c r="EH36" s="84"/>
      <c r="EI36" s="84"/>
      <c r="EJ36" s="84"/>
      <c r="EK36" s="84"/>
      <c r="EL36" s="84"/>
      <c r="EM36" s="84"/>
    </row>
    <row r="37" spans="1:143" ht="12.75" hidden="1" customHeight="1">
      <c r="A37" s="75" t="s">
        <v>90</v>
      </c>
      <c r="B37" s="82">
        <f>+B38+B40</f>
        <v>34538.6</v>
      </c>
      <c r="C37" s="82">
        <f t="shared" ref="C37:BM37" si="164">+C38+C40</f>
        <v>38959.199999999997</v>
      </c>
      <c r="D37" s="82">
        <f t="shared" si="164"/>
        <v>39432.699999999997</v>
      </c>
      <c r="E37" s="82">
        <f t="shared" si="164"/>
        <v>45309</v>
      </c>
      <c r="F37" s="82">
        <f t="shared" si="164"/>
        <v>43608.4</v>
      </c>
      <c r="G37" s="82">
        <f t="shared" si="164"/>
        <v>47834.400000000001</v>
      </c>
      <c r="H37" s="82">
        <f t="shared" si="164"/>
        <v>51333.299999999996</v>
      </c>
      <c r="I37" s="82">
        <f t="shared" si="164"/>
        <v>50966.899999999994</v>
      </c>
      <c r="J37" s="82">
        <f t="shared" si="164"/>
        <v>51312.5</v>
      </c>
      <c r="K37" s="82">
        <f t="shared" si="164"/>
        <v>58600.6</v>
      </c>
      <c r="L37" s="82">
        <f t="shared" si="164"/>
        <v>66805.2</v>
      </c>
      <c r="M37" s="82">
        <f t="shared" si="164"/>
        <v>60763.199999999997</v>
      </c>
      <c r="N37" s="82"/>
      <c r="O37" s="82">
        <f t="shared" si="164"/>
        <v>42916.9</v>
      </c>
      <c r="P37" s="82">
        <f t="shared" si="164"/>
        <v>47779.786000000015</v>
      </c>
      <c r="Q37" s="82">
        <f t="shared" si="164"/>
        <v>53797.637999999999</v>
      </c>
      <c r="R37" s="82">
        <f t="shared" si="164"/>
        <v>55179.7</v>
      </c>
      <c r="S37" s="82">
        <f t="shared" si="164"/>
        <v>61835.8</v>
      </c>
      <c r="T37" s="82">
        <f t="shared" si="164"/>
        <v>59565</v>
      </c>
      <c r="U37" s="82">
        <f t="shared" si="164"/>
        <v>58742.600000000006</v>
      </c>
      <c r="V37" s="82">
        <f t="shared" si="164"/>
        <v>66288.760999999999</v>
      </c>
      <c r="W37" s="82">
        <f t="shared" si="164"/>
        <v>59700.2</v>
      </c>
      <c r="X37" s="82">
        <f t="shared" si="164"/>
        <v>71539.8</v>
      </c>
      <c r="Y37" s="82">
        <f t="shared" si="164"/>
        <v>65712.800000000003</v>
      </c>
      <c r="Z37" s="82">
        <f t="shared" si="164"/>
        <v>58947.6</v>
      </c>
      <c r="AA37" s="82"/>
      <c r="AB37" s="82">
        <f t="shared" si="164"/>
        <v>37520.300000000003</v>
      </c>
      <c r="AC37" s="82">
        <f t="shared" si="164"/>
        <v>38790.9</v>
      </c>
      <c r="AD37" s="82">
        <f t="shared" si="164"/>
        <v>47664.899999999994</v>
      </c>
      <c r="AE37" s="82">
        <f t="shared" si="164"/>
        <v>52767.399999999994</v>
      </c>
      <c r="AF37" s="82">
        <f t="shared" si="164"/>
        <v>46840.554999999993</v>
      </c>
      <c r="AG37" s="82">
        <f t="shared" si="164"/>
        <v>51886.61</v>
      </c>
      <c r="AH37" s="82">
        <f t="shared" si="164"/>
        <v>54198.399999999994</v>
      </c>
      <c r="AI37" s="82">
        <f t="shared" si="164"/>
        <v>51694.596010000008</v>
      </c>
      <c r="AJ37" s="82">
        <f t="shared" si="164"/>
        <v>55171.86</v>
      </c>
      <c r="AK37" s="82">
        <f t="shared" si="164"/>
        <v>56402.135000000009</v>
      </c>
      <c r="AL37" s="82">
        <f t="shared" si="164"/>
        <v>57164.876000000004</v>
      </c>
      <c r="AM37" s="82">
        <f t="shared" si="164"/>
        <v>58849.229999999996</v>
      </c>
      <c r="AN37" s="82"/>
      <c r="AO37" s="82">
        <f t="shared" si="164"/>
        <v>45112.19</v>
      </c>
      <c r="AP37" s="82">
        <f t="shared" si="164"/>
        <v>48290.705000000009</v>
      </c>
      <c r="AQ37" s="82">
        <f t="shared" si="164"/>
        <v>53566.400000000001</v>
      </c>
      <c r="AR37" s="82">
        <f t="shared" si="164"/>
        <v>64140.372573200002</v>
      </c>
      <c r="AS37" s="82">
        <f t="shared" si="164"/>
        <v>60381.73</v>
      </c>
      <c r="AT37" s="82">
        <f t="shared" si="164"/>
        <v>58697.258499999996</v>
      </c>
      <c r="AU37" s="82">
        <f t="shared" si="164"/>
        <v>62313.790000000008</v>
      </c>
      <c r="AV37" s="82">
        <f t="shared" si="164"/>
        <v>59509.970549999998</v>
      </c>
      <c r="AW37" s="82">
        <f t="shared" si="164"/>
        <v>58252.368316549997</v>
      </c>
      <c r="AX37" s="82">
        <f t="shared" si="164"/>
        <v>55000.905307120003</v>
      </c>
      <c r="AY37" s="82">
        <f t="shared" si="164"/>
        <v>54934.309833774998</v>
      </c>
      <c r="AZ37" s="82">
        <f t="shared" si="164"/>
        <v>54078.187939649004</v>
      </c>
      <c r="BA37" s="82"/>
      <c r="BB37" s="82">
        <f t="shared" si="164"/>
        <v>52968.814243000001</v>
      </c>
      <c r="BC37" s="82">
        <f t="shared" si="164"/>
        <v>53369.052615000001</v>
      </c>
      <c r="BD37" s="82">
        <f t="shared" si="164"/>
        <v>59618.372761999999</v>
      </c>
      <c r="BE37" s="82">
        <f t="shared" si="164"/>
        <v>70052.219741999987</v>
      </c>
      <c r="BF37" s="82">
        <f t="shared" si="164"/>
        <v>63187.681810000009</v>
      </c>
      <c r="BG37" s="82">
        <f t="shared" si="164"/>
        <v>64138.240974</v>
      </c>
      <c r="BH37" s="82">
        <f t="shared" si="164"/>
        <v>67459.730858099996</v>
      </c>
      <c r="BI37" s="82">
        <f t="shared" si="164"/>
        <v>64952.881279999987</v>
      </c>
      <c r="BJ37" s="82">
        <f t="shared" si="164"/>
        <v>64519.973431999999</v>
      </c>
      <c r="BK37" s="82">
        <f t="shared" si="164"/>
        <v>62408.197182000004</v>
      </c>
      <c r="BL37" s="82">
        <f t="shared" si="164"/>
        <v>64272.285302999997</v>
      </c>
      <c r="BM37" s="82">
        <f t="shared" si="164"/>
        <v>66127.260167000015</v>
      </c>
      <c r="BN37" s="82"/>
      <c r="BO37" s="82">
        <f t="shared" ref="BO37:CD37" si="165">+BO38+BO40</f>
        <v>55405.114330000004</v>
      </c>
      <c r="BP37" s="82">
        <f t="shared" si="165"/>
        <v>54898.486414999999</v>
      </c>
      <c r="BQ37" s="82">
        <f t="shared" si="165"/>
        <v>62435.365314999988</v>
      </c>
      <c r="BR37" s="82">
        <f t="shared" si="165"/>
        <v>69710.440054999999</v>
      </c>
      <c r="BS37" s="82">
        <f t="shared" si="165"/>
        <v>72797.037398</v>
      </c>
      <c r="BT37" s="82">
        <f t="shared" si="165"/>
        <v>70766.846393699991</v>
      </c>
      <c r="BU37" s="82">
        <f t="shared" si="165"/>
        <v>78323.312109499995</v>
      </c>
      <c r="BV37" s="82">
        <f t="shared" si="165"/>
        <v>75457.057055299985</v>
      </c>
      <c r="BW37" s="82">
        <f t="shared" si="165"/>
        <v>71727.445930000002</v>
      </c>
      <c r="BX37" s="82">
        <f t="shared" si="165"/>
        <v>75996.367436000015</v>
      </c>
      <c r="BY37" s="82">
        <f t="shared" si="165"/>
        <v>81908.094180000015</v>
      </c>
      <c r="BZ37" s="79">
        <f t="shared" si="165"/>
        <v>83082.234202000007</v>
      </c>
      <c r="CA37" s="79"/>
      <c r="CB37" s="239">
        <f t="shared" si="165"/>
        <v>70163.328612900004</v>
      </c>
      <c r="CC37" s="239">
        <f t="shared" si="165"/>
        <v>73760.398781299984</v>
      </c>
      <c r="CD37" s="239">
        <f t="shared" si="165"/>
        <v>71294.008579999994</v>
      </c>
      <c r="CE37" s="239">
        <v>87188.877682999999</v>
      </c>
      <c r="CF37" s="239">
        <v>78162.567379299988</v>
      </c>
      <c r="CG37" s="239">
        <v>88087.356153000015</v>
      </c>
      <c r="CH37" s="239">
        <v>87704.018767999994</v>
      </c>
      <c r="CI37" s="239">
        <v>84868.001798599988</v>
      </c>
      <c r="CJ37" s="239">
        <v>82523.035243999999</v>
      </c>
      <c r="CK37" s="239">
        <v>80166.239278278445</v>
      </c>
      <c r="CL37" s="239">
        <v>84451.114104299966</v>
      </c>
      <c r="CM37" s="239">
        <v>86095.976379999993</v>
      </c>
      <c r="CN37" s="239"/>
      <c r="CO37" s="258">
        <v>69472.964776999986</v>
      </c>
      <c r="CP37" s="258">
        <v>71588.229672300018</v>
      </c>
      <c r="CQ37" s="258">
        <v>71805.332911699996</v>
      </c>
      <c r="CR37" s="258">
        <v>90782.185529999988</v>
      </c>
      <c r="CS37" s="258">
        <v>87196.094734800005</v>
      </c>
      <c r="CT37" s="258">
        <v>90197.414851300011</v>
      </c>
      <c r="CU37" s="258">
        <v>89926.728526900013</v>
      </c>
      <c r="CV37" s="258">
        <v>88639.349434100019</v>
      </c>
      <c r="CW37" s="258">
        <v>90574.076982500002</v>
      </c>
      <c r="CX37" s="84">
        <v>98860.579623149999</v>
      </c>
      <c r="CY37" s="84">
        <v>86125.288065299988</v>
      </c>
      <c r="CZ37" s="84">
        <v>88027.250317500002</v>
      </c>
      <c r="DA37" s="84"/>
      <c r="DB37" s="258">
        <v>74002.910909400001</v>
      </c>
      <c r="DC37" s="258">
        <v>70746.958266200003</v>
      </c>
      <c r="DD37" s="258">
        <v>78725.211002600001</v>
      </c>
      <c r="DE37" s="258">
        <v>88761.433458499989</v>
      </c>
      <c r="DF37" s="258">
        <v>83859.003544200023</v>
      </c>
      <c r="DG37" s="258">
        <v>89451.785863900004</v>
      </c>
      <c r="DH37" s="258">
        <v>85168.335672300003</v>
      </c>
      <c r="DI37" s="258">
        <v>98955.301519000015</v>
      </c>
      <c r="DJ37" s="258">
        <v>87449.479311500007</v>
      </c>
      <c r="DK37" s="258">
        <v>88820.778840500003</v>
      </c>
      <c r="DL37" s="258">
        <v>90484.75985659998</v>
      </c>
      <c r="DM37" s="258">
        <v>85451.181744600006</v>
      </c>
      <c r="DN37" s="203"/>
      <c r="DO37" s="258">
        <v>73624.355011799998</v>
      </c>
      <c r="DP37" s="258">
        <v>69362.055575899998</v>
      </c>
      <c r="DQ37" s="258">
        <v>78666.465050599989</v>
      </c>
      <c r="DR37" s="258">
        <v>92312.985333999997</v>
      </c>
      <c r="DS37" s="258">
        <v>88571.148149999994</v>
      </c>
      <c r="DT37" s="258">
        <v>87879.634671299995</v>
      </c>
      <c r="DU37" s="258">
        <v>84672.452943200013</v>
      </c>
      <c r="DV37" s="258">
        <v>90978.43272550001</v>
      </c>
      <c r="DW37" s="258">
        <v>86481.32756369999</v>
      </c>
      <c r="DX37" s="258">
        <v>85974.888033499999</v>
      </c>
      <c r="DY37" s="258">
        <v>91711.77020090002</v>
      </c>
      <c r="DZ37" s="258">
        <v>99329.445674799994</v>
      </c>
      <c r="EB37" s="258">
        <v>77400.03621429998</v>
      </c>
      <c r="EC37" s="258">
        <v>76833.816261499989</v>
      </c>
      <c r="ED37" s="258">
        <v>87596.837704500023</v>
      </c>
      <c r="EE37" s="84">
        <v>104507.57540839999</v>
      </c>
      <c r="EF37" s="84">
        <v>91849.682428399989</v>
      </c>
      <c r="EG37" s="258">
        <v>94716.429463699984</v>
      </c>
      <c r="EH37" s="84"/>
      <c r="EI37" s="259"/>
      <c r="EJ37" s="84"/>
      <c r="EK37" s="84"/>
      <c r="EL37" s="84"/>
      <c r="EM37" s="84"/>
    </row>
    <row r="38" spans="1:143" ht="12.75" hidden="1" customHeight="1">
      <c r="A38" s="77" t="s">
        <v>6</v>
      </c>
      <c r="B38" s="82">
        <v>29188.799999999999</v>
      </c>
      <c r="C38" s="82">
        <v>32372.5</v>
      </c>
      <c r="D38" s="82">
        <v>32636.5</v>
      </c>
      <c r="E38" s="82">
        <v>38489.800000000003</v>
      </c>
      <c r="F38" s="82">
        <v>36510.5</v>
      </c>
      <c r="G38" s="82">
        <v>40787.1</v>
      </c>
      <c r="H38" s="82">
        <v>44265.7</v>
      </c>
      <c r="I38" s="82">
        <v>43900.7</v>
      </c>
      <c r="J38" s="82">
        <v>44100.6</v>
      </c>
      <c r="K38" s="82">
        <v>51456.2</v>
      </c>
      <c r="L38" s="82">
        <v>59608.4</v>
      </c>
      <c r="M38" s="82">
        <v>51024.5</v>
      </c>
      <c r="N38" s="82"/>
      <c r="O38" s="82">
        <v>36701.599999999999</v>
      </c>
      <c r="P38" s="82">
        <v>40483.386000000013</v>
      </c>
      <c r="Q38" s="82">
        <v>46029.438000000002</v>
      </c>
      <c r="R38" s="82">
        <v>46888.7</v>
      </c>
      <c r="S38" s="82">
        <v>53826.3</v>
      </c>
      <c r="T38" s="82">
        <v>50528.3</v>
      </c>
      <c r="U38" s="82">
        <v>50231.3</v>
      </c>
      <c r="V38" s="82">
        <v>57126.961000000003</v>
      </c>
      <c r="W38" s="82">
        <v>51408.7</v>
      </c>
      <c r="X38" s="71">
        <v>60300.6</v>
      </c>
      <c r="Y38" s="71">
        <v>57111.6</v>
      </c>
      <c r="Z38" s="73">
        <v>47266</v>
      </c>
      <c r="AA38" s="82"/>
      <c r="AB38" s="73">
        <v>32734.7</v>
      </c>
      <c r="AC38" s="73">
        <v>30794.6</v>
      </c>
      <c r="AD38" s="73">
        <v>38915.599999999999</v>
      </c>
      <c r="AE38" s="73">
        <v>44244.7</v>
      </c>
      <c r="AF38" s="73">
        <v>38183.354999999996</v>
      </c>
      <c r="AG38" s="73">
        <v>42752.41</v>
      </c>
      <c r="AH38" s="73">
        <v>45176.7</v>
      </c>
      <c r="AI38" s="73">
        <v>43098.296010000005</v>
      </c>
      <c r="AJ38" s="73">
        <v>46503.8</v>
      </c>
      <c r="AK38" s="73">
        <v>47175.936000000009</v>
      </c>
      <c r="AL38" s="73">
        <v>48012.176000000007</v>
      </c>
      <c r="AM38" s="73">
        <v>48457.2</v>
      </c>
      <c r="AN38" s="73"/>
      <c r="AO38" s="71">
        <v>38330.89</v>
      </c>
      <c r="AP38" s="71">
        <v>38700.705000000009</v>
      </c>
      <c r="AQ38" s="71">
        <v>43754.400000000001</v>
      </c>
      <c r="AR38" s="71">
        <v>54551.972573200001</v>
      </c>
      <c r="AS38" s="71">
        <v>50938.130000000005</v>
      </c>
      <c r="AT38" s="71">
        <v>49220.958499999993</v>
      </c>
      <c r="AU38" s="71">
        <v>52105.590000000004</v>
      </c>
      <c r="AV38" s="71">
        <v>49806.470549999998</v>
      </c>
      <c r="AW38" s="71">
        <v>48648.648448449996</v>
      </c>
      <c r="AX38" s="71">
        <v>47937.505307120002</v>
      </c>
      <c r="AY38" s="71">
        <v>47720.051200675</v>
      </c>
      <c r="AZ38" s="71">
        <v>47227.085461849005</v>
      </c>
      <c r="BA38" s="73"/>
      <c r="BB38" s="73">
        <v>44428.714243000002</v>
      </c>
      <c r="BC38" s="73">
        <v>42843.927075</v>
      </c>
      <c r="BD38" s="73">
        <v>48779.465091999999</v>
      </c>
      <c r="BE38" s="73">
        <v>59767.124651999991</v>
      </c>
      <c r="BF38" s="73">
        <v>52718.871860000014</v>
      </c>
      <c r="BG38" s="73">
        <v>53931.257984000003</v>
      </c>
      <c r="BH38" s="73">
        <v>56736.90852099999</v>
      </c>
      <c r="BI38" s="73">
        <v>54572.755639999988</v>
      </c>
      <c r="BJ38" s="73">
        <v>53908.686812</v>
      </c>
      <c r="BK38" s="73">
        <v>52712.572162000004</v>
      </c>
      <c r="BL38" s="73">
        <v>54317.543302999999</v>
      </c>
      <c r="BM38" s="73">
        <v>54907.343047000009</v>
      </c>
      <c r="BN38" s="73"/>
      <c r="BO38" s="73">
        <v>46164.433210000003</v>
      </c>
      <c r="BP38" s="73">
        <v>44003.815824999998</v>
      </c>
      <c r="BQ38" s="73">
        <v>52526.42096499999</v>
      </c>
      <c r="BR38" s="73">
        <v>59784.452265</v>
      </c>
      <c r="BS38" s="73">
        <v>62079.099587999997</v>
      </c>
      <c r="BT38" s="73">
        <v>60174.387483699997</v>
      </c>
      <c r="BU38" s="73">
        <v>67234.267489499995</v>
      </c>
      <c r="BV38" s="73">
        <v>64333.488157999993</v>
      </c>
      <c r="BW38" s="73">
        <v>61245.039930000006</v>
      </c>
      <c r="BX38" s="73">
        <v>64713.587266000017</v>
      </c>
      <c r="BY38" s="73">
        <v>71192.937680000017</v>
      </c>
      <c r="BZ38" s="79">
        <v>69997.234202000007</v>
      </c>
      <c r="CA38" s="79"/>
      <c r="CB38" s="239">
        <v>61856.328612900004</v>
      </c>
      <c r="CC38" s="239">
        <v>72155.398781299984</v>
      </c>
      <c r="CD38" s="239">
        <v>70812.455679999999</v>
      </c>
      <c r="CE38" s="239">
        <v>85915.957532999993</v>
      </c>
      <c r="CF38" s="239">
        <v>77141.752079299986</v>
      </c>
      <c r="CG38" s="239">
        <v>86647.641623000018</v>
      </c>
      <c r="CH38" s="239">
        <v>86738.379877999992</v>
      </c>
      <c r="CI38" s="239">
        <v>84459.172267999995</v>
      </c>
      <c r="CJ38" s="239">
        <v>82694.591564000002</v>
      </c>
      <c r="CK38" s="239">
        <v>80090.474258278438</v>
      </c>
      <c r="CL38" s="239">
        <v>82045.237004299968</v>
      </c>
      <c r="CM38" s="239">
        <v>86005.246369999993</v>
      </c>
      <c r="CN38" s="239"/>
      <c r="CO38" s="258">
        <v>68671.304656999986</v>
      </c>
      <c r="CP38" s="258">
        <v>71575.777022300012</v>
      </c>
      <c r="CQ38" s="258">
        <v>71761.937321699996</v>
      </c>
      <c r="CR38" s="258">
        <v>88528.555639999991</v>
      </c>
      <c r="CS38" s="258">
        <v>86115.679934800006</v>
      </c>
      <c r="CT38" s="258">
        <v>88781.368241300006</v>
      </c>
      <c r="CU38" s="258">
        <v>89005.078766900013</v>
      </c>
      <c r="CV38" s="258">
        <v>87794.707874100015</v>
      </c>
      <c r="CW38" s="258">
        <v>90279.071312500004</v>
      </c>
      <c r="CX38" s="84">
        <v>96560.842603149998</v>
      </c>
      <c r="CY38" s="84">
        <v>85191.709445299988</v>
      </c>
      <c r="CZ38" s="84">
        <v>87183.190527500003</v>
      </c>
      <c r="DA38" s="84"/>
      <c r="DB38" s="258">
        <v>74002.910909400001</v>
      </c>
      <c r="DC38" s="258">
        <v>70746.958266200003</v>
      </c>
      <c r="DD38" s="258">
        <v>78725.211002600001</v>
      </c>
      <c r="DE38" s="258">
        <v>88761.433458499989</v>
      </c>
      <c r="DF38" s="258">
        <v>83859.003544200023</v>
      </c>
      <c r="DG38" s="258">
        <v>89451.785863900004</v>
      </c>
      <c r="DH38" s="258">
        <v>85168.335672300003</v>
      </c>
      <c r="DI38" s="258">
        <v>98955.301519000015</v>
      </c>
      <c r="DJ38" s="258">
        <v>87449.479311500007</v>
      </c>
      <c r="DK38" s="258">
        <v>88820.778840500003</v>
      </c>
      <c r="DL38" s="258">
        <v>90484.75985659998</v>
      </c>
      <c r="DM38" s="258">
        <v>85451.181744600006</v>
      </c>
      <c r="DN38" s="203"/>
      <c r="DO38" s="258">
        <v>73624.355011799998</v>
      </c>
      <c r="DP38" s="258">
        <v>69362.055575899998</v>
      </c>
      <c r="DQ38" s="258">
        <v>78666.465050599989</v>
      </c>
      <c r="DR38" s="258">
        <v>92312.985333999997</v>
      </c>
      <c r="DS38" s="258">
        <v>88571.148149999994</v>
      </c>
      <c r="DT38" s="258">
        <v>87879.634671299995</v>
      </c>
      <c r="DU38" s="258">
        <v>84672.452943200013</v>
      </c>
      <c r="DV38" s="258">
        <v>90978.43272550001</v>
      </c>
      <c r="DW38" s="258">
        <v>86481.32756369999</v>
      </c>
      <c r="DX38" s="258">
        <v>85974.888033499999</v>
      </c>
      <c r="DY38" s="258">
        <v>91711.77020090002</v>
      </c>
      <c r="DZ38" s="258">
        <v>99329.445674799994</v>
      </c>
      <c r="EB38" s="258">
        <v>77400.03621429998</v>
      </c>
      <c r="EC38" s="258">
        <v>76833.816261499989</v>
      </c>
      <c r="ED38" s="258">
        <v>87596.837704500023</v>
      </c>
      <c r="EE38" s="84">
        <v>104507.57540839999</v>
      </c>
      <c r="EF38" s="84">
        <v>91849.682428399989</v>
      </c>
      <c r="EG38" s="258">
        <v>94716.429463699984</v>
      </c>
      <c r="EH38" s="84"/>
      <c r="EI38" s="259"/>
      <c r="EJ38" s="84"/>
      <c r="EK38" s="84"/>
      <c r="EL38" s="84"/>
      <c r="EM38" s="84"/>
    </row>
    <row r="39" spans="1:143" ht="12.75" hidden="1" customHeight="1">
      <c r="A39" s="83" t="s">
        <v>7</v>
      </c>
      <c r="B39" s="82">
        <v>15977.7</v>
      </c>
      <c r="C39" s="82">
        <v>15734.5</v>
      </c>
      <c r="D39" s="82">
        <v>12859.1</v>
      </c>
      <c r="E39" s="82">
        <v>13901.2</v>
      </c>
      <c r="F39" s="82">
        <v>17555.7</v>
      </c>
      <c r="G39" s="82">
        <v>20806.400000000001</v>
      </c>
      <c r="H39" s="82">
        <v>22206.799999999999</v>
      </c>
      <c r="I39" s="82">
        <v>22054.799999999999</v>
      </c>
      <c r="J39" s="82">
        <v>21876.1</v>
      </c>
      <c r="K39" s="82">
        <v>27030.2</v>
      </c>
      <c r="L39" s="82">
        <v>35431.1</v>
      </c>
      <c r="M39" s="82">
        <v>22573.1</v>
      </c>
      <c r="N39" s="82"/>
      <c r="O39" s="82">
        <v>18300.5</v>
      </c>
      <c r="P39" s="82">
        <v>19026.3</v>
      </c>
      <c r="Q39" s="82">
        <v>21862.9</v>
      </c>
      <c r="R39" s="82">
        <v>18689.400000000001</v>
      </c>
      <c r="S39" s="82">
        <v>28331.200000000001</v>
      </c>
      <c r="T39" s="82">
        <v>25313.5</v>
      </c>
      <c r="U39" s="82">
        <v>23460.6</v>
      </c>
      <c r="V39" s="82">
        <v>27982.2</v>
      </c>
      <c r="W39" s="82">
        <v>27676.7</v>
      </c>
      <c r="X39" s="71">
        <v>36334.199999999997</v>
      </c>
      <c r="Y39" s="71">
        <v>28437.9</v>
      </c>
      <c r="Z39" s="73">
        <v>20897.7</v>
      </c>
      <c r="AA39" s="82"/>
      <c r="AB39" s="73">
        <v>15883.5</v>
      </c>
      <c r="AC39" s="73">
        <f>14721.3-1618.2</f>
        <v>13103.099999999999</v>
      </c>
      <c r="AD39" s="73">
        <v>18136.599999999999</v>
      </c>
      <c r="AE39" s="73">
        <v>16823.099999999999</v>
      </c>
      <c r="AF39" s="73">
        <v>15603.1</v>
      </c>
      <c r="AG39" s="73">
        <v>20435.8</v>
      </c>
      <c r="AH39" s="73">
        <v>22200</v>
      </c>
      <c r="AI39" s="73">
        <v>21086.799999999999</v>
      </c>
      <c r="AJ39" s="73">
        <v>24202.16</v>
      </c>
      <c r="AK39" s="73">
        <v>23423.32</v>
      </c>
      <c r="AL39" s="73">
        <v>25510.7</v>
      </c>
      <c r="AM39" s="73">
        <v>22749.86</v>
      </c>
      <c r="AN39" s="73"/>
      <c r="AO39" s="71">
        <v>20101</v>
      </c>
      <c r="AP39" s="71">
        <v>16902</v>
      </c>
      <c r="AQ39" s="71">
        <v>20474</v>
      </c>
      <c r="AR39" s="71">
        <v>23599.968426325002</v>
      </c>
      <c r="AS39" s="71">
        <v>26393.9</v>
      </c>
      <c r="AT39" s="71">
        <v>25093.042911599998</v>
      </c>
      <c r="AU39" s="71">
        <v>26333.578756274997</v>
      </c>
      <c r="AV39" s="71">
        <v>25038.378606275</v>
      </c>
      <c r="AW39" s="71">
        <v>25089.504150500001</v>
      </c>
      <c r="AX39" s="71">
        <v>24506.594262799998</v>
      </c>
      <c r="AY39" s="71">
        <v>22950.108343359996</v>
      </c>
      <c r="AZ39" s="71">
        <v>21661.322847849002</v>
      </c>
      <c r="BA39" s="73"/>
      <c r="BB39" s="73">
        <v>22071.871592000003</v>
      </c>
      <c r="BC39" s="73">
        <v>19982.793614499999</v>
      </c>
      <c r="BD39" s="73">
        <v>23052.356165500001</v>
      </c>
      <c r="BE39" s="73">
        <v>26152.438026</v>
      </c>
      <c r="BF39" s="73">
        <v>24063.596308000007</v>
      </c>
      <c r="BG39" s="73">
        <v>24059.770082499992</v>
      </c>
      <c r="BH39" s="73">
        <v>29146.899573999999</v>
      </c>
      <c r="BI39" s="89">
        <v>28326.393363999992</v>
      </c>
      <c r="BJ39" s="73">
        <v>27046.952558999998</v>
      </c>
      <c r="BK39" s="73">
        <v>27865.6771505</v>
      </c>
      <c r="BL39" s="73">
        <v>27203.587204999996</v>
      </c>
      <c r="BM39" s="73">
        <v>26662.400182500001</v>
      </c>
      <c r="BN39" s="73"/>
      <c r="BO39" s="73">
        <v>24564.259163000006</v>
      </c>
      <c r="BP39" s="73">
        <v>18109.524805499997</v>
      </c>
      <c r="BQ39" s="73">
        <v>23141.746787499997</v>
      </c>
      <c r="BR39" s="73">
        <v>24138.484810499995</v>
      </c>
      <c r="BS39" s="73">
        <v>30494.415377999998</v>
      </c>
      <c r="BT39" s="73">
        <v>26963.505249499995</v>
      </c>
      <c r="BU39" s="73">
        <v>33657.291644500001</v>
      </c>
      <c r="BV39" s="73">
        <v>33340.425371199999</v>
      </c>
      <c r="BW39" s="73">
        <v>30579.448570000008</v>
      </c>
      <c r="BX39" s="73">
        <v>34534.748794000014</v>
      </c>
      <c r="BY39" s="73">
        <v>36078.690672500001</v>
      </c>
      <c r="BZ39" s="79">
        <v>29896.580912499998</v>
      </c>
      <c r="CA39" s="79"/>
      <c r="CB39" s="239">
        <v>32746.550974999998</v>
      </c>
      <c r="CC39" s="239">
        <v>30509.804481500003</v>
      </c>
      <c r="CD39" s="239">
        <v>28194.640151000011</v>
      </c>
      <c r="CE39" s="239">
        <v>30689.972665000001</v>
      </c>
      <c r="CF39" s="239">
        <v>27668.853127000002</v>
      </c>
      <c r="CG39" s="239">
        <v>32315.763291499999</v>
      </c>
      <c r="CH39" s="239">
        <v>36010.977802999994</v>
      </c>
      <c r="CI39" s="239">
        <v>33114.8396545</v>
      </c>
      <c r="CJ39" s="239">
        <v>31695.568565500002</v>
      </c>
      <c r="CK39" s="239">
        <v>31682.364990499998</v>
      </c>
      <c r="CL39" s="239">
        <v>31584.985906499995</v>
      </c>
      <c r="CM39" s="239">
        <v>30660.825651500003</v>
      </c>
      <c r="CN39" s="239"/>
      <c r="CO39" s="258">
        <v>31786.693694999998</v>
      </c>
      <c r="CP39" s="258">
        <v>29435.336887950001</v>
      </c>
      <c r="CQ39" s="258">
        <v>24950.080383999997</v>
      </c>
      <c r="CR39" s="258">
        <v>30334.078494000001</v>
      </c>
      <c r="CS39" s="258">
        <v>34735.770879500014</v>
      </c>
      <c r="CT39" s="258">
        <v>36484.766055800006</v>
      </c>
      <c r="CU39" s="258">
        <v>36677.853683400004</v>
      </c>
      <c r="CV39" s="258">
        <v>38547.08276659999</v>
      </c>
      <c r="CW39" s="258">
        <v>36460.447098000004</v>
      </c>
      <c r="CX39" s="84">
        <v>45192.465818600002</v>
      </c>
      <c r="CY39" s="84">
        <v>35241.676441800002</v>
      </c>
      <c r="CZ39" s="84">
        <v>23539.799856600006</v>
      </c>
      <c r="DA39" s="84"/>
      <c r="DB39" s="258">
        <v>31814.716831499994</v>
      </c>
      <c r="DC39" s="258">
        <v>24197.142597600003</v>
      </c>
      <c r="DD39" s="258">
        <v>32073.022122899998</v>
      </c>
      <c r="DE39" s="258">
        <v>27429.9616895</v>
      </c>
      <c r="DF39" s="258">
        <v>30693.729403300003</v>
      </c>
      <c r="DG39" s="258">
        <v>31438.135171399997</v>
      </c>
      <c r="DH39" s="258">
        <v>30663.938046699997</v>
      </c>
      <c r="DI39" s="258">
        <v>46492.986843600003</v>
      </c>
      <c r="DJ39" s="258">
        <v>30121.417101800002</v>
      </c>
      <c r="DK39" s="258">
        <v>33825.125474700006</v>
      </c>
      <c r="DL39" s="258">
        <v>37784.482944100004</v>
      </c>
      <c r="DM39" s="258">
        <v>23611.874208500005</v>
      </c>
      <c r="DN39" s="203"/>
      <c r="DO39" s="258">
        <v>31065.0405016</v>
      </c>
      <c r="DP39" s="258">
        <v>21309.172325700001</v>
      </c>
      <c r="DQ39" s="258">
        <v>25092.870227200001</v>
      </c>
      <c r="DR39" s="258">
        <v>25391.1619866</v>
      </c>
      <c r="DS39" s="258">
        <v>26933.235269099998</v>
      </c>
      <c r="DT39" s="258">
        <v>26062.3526628</v>
      </c>
      <c r="DU39" s="258">
        <v>27367.656499600002</v>
      </c>
      <c r="DV39" s="258">
        <v>29803.178571800003</v>
      </c>
      <c r="DW39" s="258">
        <v>30071.498999799995</v>
      </c>
      <c r="DX39" s="258">
        <v>31698.459524000009</v>
      </c>
      <c r="DY39" s="258">
        <v>34641.724160899998</v>
      </c>
      <c r="DZ39" s="258">
        <v>32913.703716900003</v>
      </c>
      <c r="EB39" s="258">
        <v>30259.772389599995</v>
      </c>
      <c r="EC39" s="258">
        <v>25959.112908199997</v>
      </c>
      <c r="ED39" s="258">
        <v>28033.161322399999</v>
      </c>
      <c r="EE39" s="84">
        <v>28466.969978900001</v>
      </c>
      <c r="EF39" s="84">
        <v>30904.471298999997</v>
      </c>
      <c r="EG39" s="84">
        <v>28874.597826499998</v>
      </c>
      <c r="EH39" s="84"/>
      <c r="EI39" s="259"/>
      <c r="EJ39" s="84"/>
      <c r="EK39" s="84"/>
      <c r="EL39" s="84"/>
      <c r="EM39" s="84"/>
    </row>
    <row r="40" spans="1:143" ht="12.75" hidden="1" customHeight="1">
      <c r="A40" s="249" t="s">
        <v>120</v>
      </c>
      <c r="B40" s="82">
        <v>5349.8</v>
      </c>
      <c r="C40" s="82">
        <v>6586.7</v>
      </c>
      <c r="D40" s="82">
        <v>6796.2</v>
      </c>
      <c r="E40" s="82">
        <v>6819.2</v>
      </c>
      <c r="F40" s="82">
        <v>7097.9</v>
      </c>
      <c r="G40" s="82">
        <v>7047.3</v>
      </c>
      <c r="H40" s="82">
        <v>7067.6</v>
      </c>
      <c r="I40" s="82">
        <v>7066.2</v>
      </c>
      <c r="J40" s="82">
        <v>7211.9</v>
      </c>
      <c r="K40" s="82">
        <v>7144.4</v>
      </c>
      <c r="L40" s="82">
        <v>7196.8</v>
      </c>
      <c r="M40" s="82">
        <v>9738.7000000000007</v>
      </c>
      <c r="N40" s="82"/>
      <c r="O40" s="82">
        <v>6215.3</v>
      </c>
      <c r="P40" s="82">
        <v>7296.4</v>
      </c>
      <c r="Q40" s="82">
        <v>7768.2</v>
      </c>
      <c r="R40" s="82">
        <v>8291</v>
      </c>
      <c r="S40" s="82">
        <v>8009.5</v>
      </c>
      <c r="T40" s="82">
        <v>9036.7000000000007</v>
      </c>
      <c r="U40" s="82">
        <v>8511.2999999999993</v>
      </c>
      <c r="V40" s="82">
        <v>9161.7999999999993</v>
      </c>
      <c r="W40" s="82">
        <v>8291.5</v>
      </c>
      <c r="X40" s="71">
        <v>11239.2</v>
      </c>
      <c r="Y40" s="71">
        <v>8601.2000000000007</v>
      </c>
      <c r="Z40" s="71">
        <v>11681.6</v>
      </c>
      <c r="AA40" s="82"/>
      <c r="AB40" s="73">
        <v>4785.6000000000004</v>
      </c>
      <c r="AC40" s="73">
        <v>7996.3</v>
      </c>
      <c r="AD40" s="73">
        <v>8749.2999999999993</v>
      </c>
      <c r="AE40" s="73">
        <v>8522.7000000000007</v>
      </c>
      <c r="AF40" s="73">
        <v>8657.2000000000007</v>
      </c>
      <c r="AG40" s="73">
        <v>9134.2000000000007</v>
      </c>
      <c r="AH40" s="73">
        <v>9021.7000000000007</v>
      </c>
      <c r="AI40" s="73">
        <v>8596.2999999999993</v>
      </c>
      <c r="AJ40" s="73">
        <v>8668.06</v>
      </c>
      <c r="AK40" s="73">
        <v>9226.1990000000005</v>
      </c>
      <c r="AL40" s="73">
        <v>9152.7000000000007</v>
      </c>
      <c r="AM40" s="73">
        <v>10392.030000000001</v>
      </c>
      <c r="AN40" s="73"/>
      <c r="AO40" s="73">
        <v>6781.3</v>
      </c>
      <c r="AP40" s="73">
        <v>9590</v>
      </c>
      <c r="AQ40" s="73">
        <v>9812</v>
      </c>
      <c r="AR40" s="73">
        <v>9588.4</v>
      </c>
      <c r="AS40" s="73">
        <v>9443.6</v>
      </c>
      <c r="AT40" s="73">
        <v>9476.2999999999993</v>
      </c>
      <c r="AU40" s="73">
        <v>10208.200000000001</v>
      </c>
      <c r="AV40" s="71">
        <v>9703.5</v>
      </c>
      <c r="AW40" s="71">
        <v>9603.7198681000009</v>
      </c>
      <c r="AX40" s="71">
        <v>7063.4</v>
      </c>
      <c r="AY40" s="71">
        <v>7214.2586331000002</v>
      </c>
      <c r="AZ40" s="71">
        <v>6851.1024778000001</v>
      </c>
      <c r="BA40" s="73"/>
      <c r="BB40" s="73">
        <v>8540.1</v>
      </c>
      <c r="BC40" s="73">
        <v>10525.125539999999</v>
      </c>
      <c r="BD40" s="73">
        <v>10838.907670000001</v>
      </c>
      <c r="BE40" s="73">
        <v>10285.095090000001</v>
      </c>
      <c r="BF40" s="73">
        <v>10468.809949999999</v>
      </c>
      <c r="BG40" s="73">
        <v>10206.98299</v>
      </c>
      <c r="BH40" s="73">
        <v>10722.822337099999</v>
      </c>
      <c r="BI40" s="73">
        <v>10380.12564</v>
      </c>
      <c r="BJ40" s="73">
        <v>10611.286619999999</v>
      </c>
      <c r="BK40" s="73">
        <v>9695.6250199999995</v>
      </c>
      <c r="BL40" s="73">
        <v>9954.7420000000002</v>
      </c>
      <c r="BM40" s="73">
        <v>11219.91712</v>
      </c>
      <c r="BN40" s="73"/>
      <c r="BO40" s="73">
        <v>9240.6811199999993</v>
      </c>
      <c r="BP40" s="73">
        <v>10894.67059</v>
      </c>
      <c r="BQ40" s="73">
        <v>9908.9443499999998</v>
      </c>
      <c r="BR40" s="73">
        <v>9925.9877899999992</v>
      </c>
      <c r="BS40" s="73">
        <v>10717.937810000001</v>
      </c>
      <c r="BT40" s="73">
        <v>10592.458909999999</v>
      </c>
      <c r="BU40" s="73">
        <v>11089.044619999999</v>
      </c>
      <c r="BV40" s="73">
        <v>11123.5688973</v>
      </c>
      <c r="BW40" s="73">
        <v>10482.406000000001</v>
      </c>
      <c r="BX40" s="73">
        <v>11282.78017</v>
      </c>
      <c r="BY40" s="73">
        <v>10715.156499999999</v>
      </c>
      <c r="BZ40" s="79">
        <v>13085</v>
      </c>
      <c r="CA40" s="79"/>
      <c r="CB40" s="239">
        <v>8307</v>
      </c>
      <c r="CC40" s="239">
        <v>1605</v>
      </c>
      <c r="CD40" s="239">
        <v>481.55290000000002</v>
      </c>
      <c r="CE40" s="239">
        <v>1272.9201499999999</v>
      </c>
      <c r="CF40" s="239">
        <v>1020.8153000000001</v>
      </c>
      <c r="CG40" s="239">
        <v>1439.71453</v>
      </c>
      <c r="CH40" s="239">
        <v>965.63889000000006</v>
      </c>
      <c r="CI40" s="239">
        <v>408.8295306</v>
      </c>
      <c r="CJ40" s="244">
        <v>-171.55632</v>
      </c>
      <c r="CK40" s="239">
        <v>75.765020000000007</v>
      </c>
      <c r="CL40" s="239">
        <v>2405.8771000000002</v>
      </c>
      <c r="CM40" s="239">
        <v>90.730009999999993</v>
      </c>
      <c r="CN40" s="239"/>
      <c r="CO40" s="258">
        <v>801.66012000000001</v>
      </c>
      <c r="CP40" s="258">
        <v>12.45265</v>
      </c>
      <c r="CQ40" s="258">
        <v>43.395589999999999</v>
      </c>
      <c r="CR40" s="258">
        <v>2253.6298900000002</v>
      </c>
      <c r="CS40" s="258">
        <v>1080.4148</v>
      </c>
      <c r="CT40" s="258">
        <v>1416.0466100000001</v>
      </c>
      <c r="CU40" s="258">
        <v>921.64976000000001</v>
      </c>
      <c r="CV40" s="258">
        <v>844.64156000000003</v>
      </c>
      <c r="CW40" s="258">
        <v>295.00567000000001</v>
      </c>
      <c r="CX40" s="84">
        <v>2299.73702</v>
      </c>
      <c r="CY40" s="84">
        <v>933.57862</v>
      </c>
      <c r="CZ40" s="84">
        <v>844.05979000000002</v>
      </c>
      <c r="DA40" s="84"/>
      <c r="DB40" s="258">
        <v>520.32156029999999</v>
      </c>
      <c r="DC40" s="258">
        <v>801.70836589999999</v>
      </c>
      <c r="DD40" s="258">
        <v>845.44545649999998</v>
      </c>
      <c r="DE40" s="258">
        <v>890.30197829999997</v>
      </c>
      <c r="DF40" s="258">
        <v>956.48095499999999</v>
      </c>
      <c r="DG40" s="258">
        <v>910.54</v>
      </c>
      <c r="DH40" s="258">
        <v>927.05710049999993</v>
      </c>
      <c r="DI40" s="258">
        <v>867.67257239999992</v>
      </c>
      <c r="DJ40" s="258">
        <v>878.54383580000001</v>
      </c>
      <c r="DK40" s="258">
        <v>975.16553280000005</v>
      </c>
      <c r="DL40" s="258">
        <v>977.30006070000002</v>
      </c>
      <c r="DM40" s="258">
        <v>1325.0432063000001</v>
      </c>
      <c r="DN40" s="203"/>
      <c r="DO40" s="258">
        <v>742.91347489999998</v>
      </c>
      <c r="DP40" s="258">
        <v>996</v>
      </c>
      <c r="DQ40" s="258">
        <v>1020.3572653</v>
      </c>
      <c r="DR40" s="258">
        <v>1048.8119554</v>
      </c>
      <c r="DS40" s="258">
        <v>1127.0491947999999</v>
      </c>
      <c r="DT40" s="258">
        <v>1120.1627794000001</v>
      </c>
      <c r="DU40" s="258">
        <v>1148.9655960999999</v>
      </c>
      <c r="DV40" s="258">
        <v>1096.5466053</v>
      </c>
      <c r="DW40" s="258">
        <v>1107.1810359000001</v>
      </c>
      <c r="DX40" s="258">
        <v>1177.8213765</v>
      </c>
      <c r="DY40" s="258">
        <v>1202.6250058999999</v>
      </c>
      <c r="DZ40" s="258">
        <v>1584.2045435</v>
      </c>
      <c r="EB40" s="258">
        <v>895.08481010000003</v>
      </c>
      <c r="EC40" s="258">
        <v>1159.5454396</v>
      </c>
      <c r="ED40" s="258">
        <v>1201.9770572</v>
      </c>
      <c r="EE40" s="84">
        <v>1259.3676518999998</v>
      </c>
      <c r="EF40" s="84">
        <v>1302.6333806</v>
      </c>
      <c r="EG40" s="84">
        <v>1318</v>
      </c>
      <c r="EH40" s="84"/>
      <c r="EI40" s="84"/>
      <c r="EJ40" s="84"/>
      <c r="EK40" s="84"/>
      <c r="EL40" s="84"/>
      <c r="EM40" s="84"/>
    </row>
    <row r="41" spans="1:143" ht="12.75" hidden="1" customHeight="1">
      <c r="A41" s="203" t="s">
        <v>101</v>
      </c>
      <c r="B41" s="82">
        <v>22415.828266666667</v>
      </c>
      <c r="C41" s="82">
        <v>39192.828266666671</v>
      </c>
      <c r="D41" s="82">
        <v>38312.728266666665</v>
      </c>
      <c r="E41" s="82">
        <v>42657.492066666666</v>
      </c>
      <c r="F41" s="82">
        <v>39390.792066666669</v>
      </c>
      <c r="G41" s="82">
        <v>40607.992066666659</v>
      </c>
      <c r="H41" s="82">
        <v>46109.662736666658</v>
      </c>
      <c r="I41" s="82">
        <v>43194.86273666667</v>
      </c>
      <c r="J41" s="82">
        <v>31101.162736666665</v>
      </c>
      <c r="K41" s="82">
        <v>47451.503596666669</v>
      </c>
      <c r="L41" s="82">
        <v>43948.203596666659</v>
      </c>
      <c r="M41" s="82">
        <v>62440.803596666672</v>
      </c>
      <c r="N41" s="82"/>
      <c r="O41" s="82">
        <v>30645.3</v>
      </c>
      <c r="P41" s="82">
        <v>55596.3</v>
      </c>
      <c r="Q41" s="82">
        <v>42102.8</v>
      </c>
      <c r="R41" s="82">
        <v>54127.6</v>
      </c>
      <c r="S41" s="82">
        <v>48877.1</v>
      </c>
      <c r="T41" s="82">
        <v>53068.5</v>
      </c>
      <c r="U41" s="82">
        <v>54205.4</v>
      </c>
      <c r="V41" s="82">
        <v>56726.1</v>
      </c>
      <c r="W41" s="82">
        <v>55416.1</v>
      </c>
      <c r="X41" s="71">
        <v>57576.3</v>
      </c>
      <c r="Y41" s="71">
        <v>50742.1</v>
      </c>
      <c r="Z41" s="71">
        <v>71482.600000000006</v>
      </c>
      <c r="AA41" s="82"/>
      <c r="AB41" s="73">
        <v>33211</v>
      </c>
      <c r="AC41" s="73">
        <v>57922.2</v>
      </c>
      <c r="AD41" s="73">
        <v>50971.4</v>
      </c>
      <c r="AE41" s="73">
        <v>59113.8</v>
      </c>
      <c r="AF41" s="73">
        <v>56636.3</v>
      </c>
      <c r="AG41" s="73">
        <v>60455</v>
      </c>
      <c r="AH41" s="73">
        <v>67621.22099999999</v>
      </c>
      <c r="AI41" s="73">
        <v>57926.2</v>
      </c>
      <c r="AJ41" s="73">
        <v>62184.3</v>
      </c>
      <c r="AK41" s="73">
        <v>63423.91599999999</v>
      </c>
      <c r="AL41" s="73">
        <v>57705.836000000003</v>
      </c>
      <c r="AM41" s="73">
        <v>81600.73</v>
      </c>
      <c r="AN41" s="73"/>
      <c r="AO41" s="71">
        <v>32912.400000000001</v>
      </c>
      <c r="AP41" s="71">
        <v>61638.675999999999</v>
      </c>
      <c r="AQ41" s="71">
        <v>56104.119999999995</v>
      </c>
      <c r="AR41" s="71">
        <v>62353.36</v>
      </c>
      <c r="AS41" s="71">
        <v>58906.55</v>
      </c>
      <c r="AT41" s="71">
        <v>60881.283890600003</v>
      </c>
      <c r="AU41" s="71">
        <v>68730.447297300008</v>
      </c>
      <c r="AV41" s="71">
        <v>56914.0295529</v>
      </c>
      <c r="AW41" s="71">
        <v>55503.1430607</v>
      </c>
      <c r="AX41" s="71">
        <v>61357.268494000004</v>
      </c>
      <c r="AY41" s="82">
        <v>61883.512317399996</v>
      </c>
      <c r="AZ41" s="73">
        <v>84231.014281899988</v>
      </c>
      <c r="BA41" s="73"/>
      <c r="BB41" s="73">
        <v>34800.983426500003</v>
      </c>
      <c r="BC41" s="73">
        <v>64471.278298600009</v>
      </c>
      <c r="BD41" s="73">
        <v>61717.818933900002</v>
      </c>
      <c r="BE41" s="73">
        <v>66636.823005999991</v>
      </c>
      <c r="BF41" s="73">
        <v>62555.622200999998</v>
      </c>
      <c r="BG41" s="73">
        <v>64602.893453999997</v>
      </c>
      <c r="BH41" s="89">
        <v>73697.739005500014</v>
      </c>
      <c r="BI41" s="73">
        <v>63651.8898921</v>
      </c>
      <c r="BJ41" s="73">
        <v>59138.660344100004</v>
      </c>
      <c r="BK41" s="73">
        <v>67450.279391399992</v>
      </c>
      <c r="BL41" s="73">
        <v>64577.606220900008</v>
      </c>
      <c r="BM41" s="73">
        <v>99333.590356300003</v>
      </c>
      <c r="BN41" s="73"/>
      <c r="BO41" s="73">
        <v>35905.430754399997</v>
      </c>
      <c r="BP41" s="73">
        <v>72604.466145900005</v>
      </c>
      <c r="BQ41" s="73">
        <v>64535.644987599997</v>
      </c>
      <c r="BR41" s="73">
        <v>72887.4475733</v>
      </c>
      <c r="BS41" s="73">
        <v>69355.832820199998</v>
      </c>
      <c r="BT41" s="73">
        <v>67828.310672299995</v>
      </c>
      <c r="BU41" s="73">
        <v>80077.234658999994</v>
      </c>
      <c r="BV41" s="73">
        <v>66947.60449089999</v>
      </c>
      <c r="BW41" s="73">
        <v>63038.839699000004</v>
      </c>
      <c r="BX41" s="73">
        <v>76102.844095699998</v>
      </c>
      <c r="BY41" s="79">
        <v>70833.7859857</v>
      </c>
      <c r="BZ41" s="79">
        <v>101713.66003089999</v>
      </c>
      <c r="CA41" s="79"/>
      <c r="CB41" s="239">
        <v>43034.477662099998</v>
      </c>
      <c r="CC41" s="239">
        <v>80242.660771099996</v>
      </c>
      <c r="CD41" s="239">
        <v>71520.919493099995</v>
      </c>
      <c r="CE41" s="239">
        <v>83434.037692900005</v>
      </c>
      <c r="CF41" s="239">
        <v>72076.899930799991</v>
      </c>
      <c r="CG41" s="239">
        <v>72403.680845800001</v>
      </c>
      <c r="CH41" s="239">
        <v>82247.1436178</v>
      </c>
      <c r="CI41" s="239">
        <v>71938.692855599977</v>
      </c>
      <c r="CJ41" s="239">
        <v>66961.808797799997</v>
      </c>
      <c r="CK41" s="239">
        <v>90261.384123099982</v>
      </c>
      <c r="CL41" s="239">
        <v>76332.916856600001</v>
      </c>
      <c r="CM41" s="239">
        <v>169049.6647122</v>
      </c>
      <c r="CN41" s="239">
        <v>43702.888517400002</v>
      </c>
      <c r="CO41" s="258">
        <v>43702.888517400002</v>
      </c>
      <c r="CP41" s="258">
        <v>84502.92124570001</v>
      </c>
      <c r="CQ41" s="258">
        <v>85343.755843299994</v>
      </c>
      <c r="CR41" s="258">
        <v>87845.406752399998</v>
      </c>
      <c r="CS41" s="258">
        <v>76904.611487200003</v>
      </c>
      <c r="CT41" s="258">
        <v>75698.182826899996</v>
      </c>
      <c r="CU41" s="258">
        <v>96066.098908000014</v>
      </c>
      <c r="CV41" s="258">
        <v>80787.219739700013</v>
      </c>
      <c r="CW41" s="258">
        <v>89217.375587499992</v>
      </c>
      <c r="CX41" s="84">
        <v>102021.4559516</v>
      </c>
      <c r="CY41" s="84">
        <v>92393.746723199991</v>
      </c>
      <c r="CZ41" s="260">
        <v>133394.30384869999</v>
      </c>
      <c r="DA41" s="84"/>
      <c r="DB41" s="258">
        <v>54976.48625970001</v>
      </c>
      <c r="DC41" s="258">
        <v>93255.096288500004</v>
      </c>
      <c r="DD41" s="258">
        <v>98005.861122300004</v>
      </c>
      <c r="DE41" s="258">
        <v>106197.0489327</v>
      </c>
      <c r="DF41" s="258">
        <v>88679.692015999986</v>
      </c>
      <c r="DG41" s="258">
        <v>88117.731794400024</v>
      </c>
      <c r="DH41" s="258">
        <v>112934.34564170001</v>
      </c>
      <c r="DI41" s="258">
        <v>89195.329783400011</v>
      </c>
      <c r="DJ41" s="258">
        <v>98062.325002199985</v>
      </c>
      <c r="DK41" s="258">
        <v>114110.10049130001</v>
      </c>
      <c r="DL41" s="258">
        <v>94252.5866331</v>
      </c>
      <c r="DM41" s="258">
        <v>137780.29496769997</v>
      </c>
      <c r="DN41" s="203"/>
      <c r="DO41" s="258">
        <v>54078.093594600003</v>
      </c>
      <c r="DP41" s="258">
        <v>104914.8532061</v>
      </c>
      <c r="DQ41" s="258">
        <v>104583.79920529999</v>
      </c>
      <c r="DR41" s="258">
        <v>108482.65928450001</v>
      </c>
      <c r="DS41" s="258">
        <v>92961.061439600016</v>
      </c>
      <c r="DT41" s="258">
        <v>92901.477494899998</v>
      </c>
      <c r="DU41" s="258">
        <v>110270.03953240001</v>
      </c>
      <c r="DV41" s="258">
        <v>92488.350484199997</v>
      </c>
      <c r="DW41" s="258">
        <v>102231.45890660002</v>
      </c>
      <c r="DX41" s="258">
        <v>118143.49565149999</v>
      </c>
      <c r="DY41" s="258">
        <v>96372.890436700021</v>
      </c>
      <c r="DZ41" s="258">
        <v>131946.77406570001</v>
      </c>
      <c r="EB41" s="258">
        <v>53922.287918700007</v>
      </c>
      <c r="EC41" s="258">
        <v>98911.609597199989</v>
      </c>
      <c r="ED41" s="258">
        <v>105014.07562759999</v>
      </c>
      <c r="EE41" s="84">
        <v>97039.029532500004</v>
      </c>
      <c r="EF41" s="84">
        <v>116062.0432159</v>
      </c>
      <c r="EG41" s="84">
        <v>87887.84599799999</v>
      </c>
      <c r="EH41" s="84"/>
      <c r="EI41" s="84"/>
      <c r="EJ41" s="84"/>
      <c r="EK41" s="84"/>
      <c r="EL41" s="84"/>
      <c r="EM41" s="84"/>
    </row>
    <row r="42" spans="1:143" ht="12.75" hidden="1" customHeight="1">
      <c r="A42" s="203" t="s">
        <v>9</v>
      </c>
      <c r="B42" s="82">
        <f>+B43+B44</f>
        <v>885.09999999999991</v>
      </c>
      <c r="C42" s="82">
        <f t="shared" ref="C42:Z42" si="166">+C43+C44</f>
        <v>4226.8</v>
      </c>
      <c r="D42" s="82">
        <f t="shared" si="166"/>
        <v>7264.6</v>
      </c>
      <c r="E42" s="82">
        <f t="shared" si="166"/>
        <v>11200.5</v>
      </c>
      <c r="F42" s="82">
        <f t="shared" si="166"/>
        <v>6285.4999999999991</v>
      </c>
      <c r="G42" s="82">
        <f t="shared" si="166"/>
        <v>7213.2</v>
      </c>
      <c r="H42" s="82">
        <f t="shared" si="166"/>
        <v>13850.300000000001</v>
      </c>
      <c r="I42" s="82">
        <f t="shared" si="166"/>
        <v>12940.3</v>
      </c>
      <c r="J42" s="82">
        <f t="shared" si="166"/>
        <v>18639.800000000003</v>
      </c>
      <c r="K42" s="82">
        <f t="shared" si="166"/>
        <v>14620.9</v>
      </c>
      <c r="L42" s="82">
        <f t="shared" si="166"/>
        <v>7599.2999999999993</v>
      </c>
      <c r="M42" s="82">
        <f t="shared" si="166"/>
        <v>46571.8</v>
      </c>
      <c r="N42" s="82"/>
      <c r="O42" s="82">
        <f t="shared" si="166"/>
        <v>1041</v>
      </c>
      <c r="P42" s="82">
        <f t="shared" si="166"/>
        <v>4998.3</v>
      </c>
      <c r="Q42" s="82">
        <f t="shared" si="166"/>
        <v>3398.3</v>
      </c>
      <c r="R42" s="82">
        <f t="shared" si="166"/>
        <v>8796.6110000000008</v>
      </c>
      <c r="S42" s="82">
        <f t="shared" si="166"/>
        <v>10173.527</v>
      </c>
      <c r="T42" s="82">
        <f t="shared" si="166"/>
        <v>10741.2</v>
      </c>
      <c r="U42" s="82">
        <f t="shared" si="166"/>
        <v>19675.3</v>
      </c>
      <c r="V42" s="82">
        <f t="shared" si="166"/>
        <v>7449.7</v>
      </c>
      <c r="W42" s="82">
        <f t="shared" si="166"/>
        <v>20401</v>
      </c>
      <c r="X42" s="82">
        <f t="shared" si="166"/>
        <v>16003.199999999999</v>
      </c>
      <c r="Y42" s="82">
        <f t="shared" si="166"/>
        <v>8045.6999999999989</v>
      </c>
      <c r="Z42" s="82">
        <f t="shared" si="166"/>
        <v>22278.300000000003</v>
      </c>
      <c r="AA42" s="82"/>
      <c r="AB42" s="73">
        <f t="shared" ref="AB42:AM42" si="167">+AB43+AB44</f>
        <v>482.90000000000009</v>
      </c>
      <c r="AC42" s="73">
        <f t="shared" si="167"/>
        <v>5965.2</v>
      </c>
      <c r="AD42" s="73">
        <f t="shared" si="167"/>
        <v>9826.7000000000007</v>
      </c>
      <c r="AE42" s="73">
        <f t="shared" si="167"/>
        <v>6831.7</v>
      </c>
      <c r="AF42" s="73">
        <f t="shared" si="167"/>
        <v>11003.2</v>
      </c>
      <c r="AG42" s="73">
        <f t="shared" si="167"/>
        <v>17937.27</v>
      </c>
      <c r="AH42" s="73">
        <f t="shared" si="167"/>
        <v>19247.073000000004</v>
      </c>
      <c r="AI42" s="73">
        <f t="shared" si="167"/>
        <v>14923.719999999998</v>
      </c>
      <c r="AJ42" s="73">
        <f t="shared" si="167"/>
        <v>19836.558000000001</v>
      </c>
      <c r="AK42" s="73">
        <f t="shared" si="167"/>
        <v>21780.948</v>
      </c>
      <c r="AL42" s="73">
        <f t="shared" si="167"/>
        <v>19284.162</v>
      </c>
      <c r="AM42" s="73">
        <f t="shared" si="167"/>
        <v>31267.199999999997</v>
      </c>
      <c r="AN42" s="73"/>
      <c r="AO42" s="73">
        <f t="shared" ref="AO42:BZ42" si="168">+AO43+AO44</f>
        <v>8682.2245000000003</v>
      </c>
      <c r="AP42" s="73">
        <f t="shared" si="168"/>
        <v>10273.643050000001</v>
      </c>
      <c r="AQ42" s="73">
        <f t="shared" si="168"/>
        <v>15142.653249999999</v>
      </c>
      <c r="AR42" s="73">
        <f t="shared" si="168"/>
        <v>11200.817000000003</v>
      </c>
      <c r="AS42" s="73">
        <f t="shared" si="168"/>
        <v>9795.9189999999999</v>
      </c>
      <c r="AT42" s="73">
        <f t="shared" si="168"/>
        <v>17950.409790000002</v>
      </c>
      <c r="AU42" s="73">
        <f t="shared" si="168"/>
        <v>10477.433890099997</v>
      </c>
      <c r="AV42" s="73">
        <f t="shared" si="168"/>
        <v>9306.9799854999983</v>
      </c>
      <c r="AW42" s="73">
        <f t="shared" si="168"/>
        <v>15632.321714150001</v>
      </c>
      <c r="AX42" s="73">
        <f t="shared" si="168"/>
        <v>12556.977181999999</v>
      </c>
      <c r="AY42" s="73">
        <f t="shared" si="168"/>
        <v>9559.0405530000007</v>
      </c>
      <c r="AZ42" s="73">
        <f t="shared" si="168"/>
        <v>30484.468476899994</v>
      </c>
      <c r="BB42" s="73">
        <f t="shared" si="168"/>
        <v>3844.8537310000002</v>
      </c>
      <c r="BC42" s="73">
        <f t="shared" si="168"/>
        <v>8116.8172809999996</v>
      </c>
      <c r="BD42" s="73">
        <f t="shared" si="168"/>
        <v>11871.287861000001</v>
      </c>
      <c r="BE42" s="73">
        <f t="shared" si="168"/>
        <v>7432.4967999999999</v>
      </c>
      <c r="BF42" s="73">
        <f t="shared" si="168"/>
        <v>9595.3982840000008</v>
      </c>
      <c r="BG42" s="73">
        <f t="shared" si="168"/>
        <v>6211.4087639999989</v>
      </c>
      <c r="BH42" s="73">
        <f t="shared" si="168"/>
        <v>14150.422189099998</v>
      </c>
      <c r="BI42" s="73">
        <f t="shared" si="168"/>
        <v>9264.8765904000011</v>
      </c>
      <c r="BJ42" s="73">
        <f t="shared" si="168"/>
        <v>13556.692443899998</v>
      </c>
      <c r="BK42" s="73">
        <f t="shared" si="168"/>
        <v>15787.772278599999</v>
      </c>
      <c r="BL42" s="73">
        <f t="shared" si="168"/>
        <v>11334.612501700003</v>
      </c>
      <c r="BM42" s="73">
        <f t="shared" si="168"/>
        <v>16620.196394500002</v>
      </c>
      <c r="BN42" s="73"/>
      <c r="BO42" s="73">
        <f t="shared" si="168"/>
        <v>1718.2422550000001</v>
      </c>
      <c r="BP42" s="73">
        <f t="shared" si="168"/>
        <v>4443.1061489999993</v>
      </c>
      <c r="BQ42" s="73">
        <f t="shared" si="168"/>
        <v>5064.9699030000002</v>
      </c>
      <c r="BR42" s="73">
        <f t="shared" si="168"/>
        <v>7912.8309648000013</v>
      </c>
      <c r="BS42" s="73">
        <f t="shared" si="168"/>
        <v>9266.2461260000018</v>
      </c>
      <c r="BT42" s="73">
        <f t="shared" si="168"/>
        <v>6280.46569</v>
      </c>
      <c r="BU42" s="73">
        <f t="shared" si="168"/>
        <v>16949.967449</v>
      </c>
      <c r="BV42" s="73">
        <f t="shared" si="168"/>
        <v>7476.3562227999992</v>
      </c>
      <c r="BW42" s="73">
        <f t="shared" si="168"/>
        <v>6570.2351037999997</v>
      </c>
      <c r="BX42" s="73">
        <f t="shared" si="168"/>
        <v>14499.884924700002</v>
      </c>
      <c r="BY42" s="73">
        <f t="shared" si="168"/>
        <v>9490.1067269999985</v>
      </c>
      <c r="BZ42" s="79">
        <f t="shared" si="168"/>
        <v>17513.906779500001</v>
      </c>
      <c r="CA42" s="79"/>
      <c r="CB42" s="239">
        <v>2419.0961459999999</v>
      </c>
      <c r="CC42" s="239">
        <v>3123.5753510000004</v>
      </c>
      <c r="CD42" s="239">
        <v>3107.0099650000002</v>
      </c>
      <c r="CE42" s="239">
        <v>6643.5848930000002</v>
      </c>
      <c r="CF42" s="239">
        <v>6671.957918000001</v>
      </c>
      <c r="CG42" s="239">
        <v>8238.8397150000001</v>
      </c>
      <c r="CH42" s="239">
        <v>8395.0773654000004</v>
      </c>
      <c r="CI42" s="239">
        <v>9379.1357169999992</v>
      </c>
      <c r="CJ42" s="239">
        <v>13787.789474199997</v>
      </c>
      <c r="CK42" s="239">
        <v>8674.5522744000009</v>
      </c>
      <c r="CL42" s="239">
        <v>11609.180109600002</v>
      </c>
      <c r="CM42" s="239">
        <v>20946.850557500002</v>
      </c>
      <c r="CN42" s="239">
        <v>2514.3401351000002</v>
      </c>
      <c r="CO42" s="258">
        <v>2514.3401351000002</v>
      </c>
      <c r="CP42" s="258">
        <v>5537.6250110000001</v>
      </c>
      <c r="CQ42" s="258">
        <v>4383.5384680000006</v>
      </c>
      <c r="CR42" s="258">
        <v>7123.8370670000004</v>
      </c>
      <c r="CS42" s="258">
        <v>2770.0089380000009</v>
      </c>
      <c r="CT42" s="258">
        <v>8783.8442426999973</v>
      </c>
      <c r="CU42" s="258">
        <v>11030.769761899997</v>
      </c>
      <c r="CV42" s="258">
        <v>6168.218273800001</v>
      </c>
      <c r="CW42" s="258">
        <v>12924.486934</v>
      </c>
      <c r="CX42" s="84">
        <v>12932.382824199998</v>
      </c>
      <c r="CY42" s="84">
        <v>10435.617122</v>
      </c>
      <c r="CZ42" s="258">
        <v>24924.099143000003</v>
      </c>
      <c r="DA42" s="84"/>
      <c r="DB42" s="258">
        <v>2804.4887449999997</v>
      </c>
      <c r="DC42" s="258">
        <v>4001.3567070000004</v>
      </c>
      <c r="DD42" s="258">
        <v>3250.1962650000005</v>
      </c>
      <c r="DE42" s="258">
        <v>4785.1464022</v>
      </c>
      <c r="DF42" s="258">
        <v>7648.6839588999992</v>
      </c>
      <c r="DG42" s="258">
        <v>14790.241363900001</v>
      </c>
      <c r="DH42" s="258">
        <v>16323.637404599998</v>
      </c>
      <c r="DI42" s="258">
        <v>10027.872142999999</v>
      </c>
      <c r="DJ42" s="258">
        <v>13222.728189199999</v>
      </c>
      <c r="DK42" s="258">
        <v>19122.422020100003</v>
      </c>
      <c r="DL42" s="258">
        <v>11434.712979899999</v>
      </c>
      <c r="DM42" s="258">
        <v>39654.488091199994</v>
      </c>
      <c r="DN42" s="203"/>
      <c r="DO42" s="258">
        <v>-57.927196499999809</v>
      </c>
      <c r="DP42" s="258">
        <v>4708.2396449999997</v>
      </c>
      <c r="DQ42" s="258">
        <v>4133.3632079999998</v>
      </c>
      <c r="DR42" s="258">
        <v>14137.242451000002</v>
      </c>
      <c r="DS42" s="258">
        <v>8378.699016999999</v>
      </c>
      <c r="DT42" s="258">
        <v>13269.834450999999</v>
      </c>
      <c r="DU42" s="258">
        <v>8710.9106133000005</v>
      </c>
      <c r="DV42" s="258">
        <v>11966.478109400001</v>
      </c>
      <c r="DW42" s="258">
        <v>11395.892256299998</v>
      </c>
      <c r="DX42" s="258">
        <v>15791.232647000003</v>
      </c>
      <c r="DY42" s="258">
        <v>16054.458099499998</v>
      </c>
      <c r="DZ42" s="258">
        <v>52673.474819900002</v>
      </c>
      <c r="EB42" s="258">
        <v>2356.0295474999998</v>
      </c>
      <c r="EC42" s="258">
        <v>5930.3430739999994</v>
      </c>
      <c r="ED42" s="258">
        <v>4515.0051131</v>
      </c>
      <c r="EE42" s="84">
        <v>4279.512695200001</v>
      </c>
      <c r="EF42" s="84">
        <v>7175.6362460000009</v>
      </c>
      <c r="EG42" s="84">
        <v>7493.6618868000005</v>
      </c>
      <c r="EH42" s="84"/>
      <c r="EI42" s="84"/>
      <c r="EJ42" s="84"/>
      <c r="EK42" s="84"/>
      <c r="EL42" s="84"/>
      <c r="EM42" s="84"/>
    </row>
    <row r="43" spans="1:143" ht="12.75" hidden="1" customHeight="1">
      <c r="A43" s="75" t="s">
        <v>14</v>
      </c>
      <c r="B43" s="82">
        <v>4891</v>
      </c>
      <c r="C43" s="82">
        <v>4440.1000000000004</v>
      </c>
      <c r="D43" s="82">
        <v>7330</v>
      </c>
      <c r="E43" s="82">
        <v>11268</v>
      </c>
      <c r="F43" s="82">
        <v>8469.7999999999993</v>
      </c>
      <c r="G43" s="82">
        <v>10511.5</v>
      </c>
      <c r="H43" s="82">
        <v>14963.2</v>
      </c>
      <c r="I43" s="82">
        <v>13195.4</v>
      </c>
      <c r="J43" s="82">
        <v>20884.400000000001</v>
      </c>
      <c r="K43" s="82">
        <v>15893.5</v>
      </c>
      <c r="L43" s="82">
        <v>10043.299999999999</v>
      </c>
      <c r="M43" s="82">
        <v>48278.9</v>
      </c>
      <c r="N43" s="82"/>
      <c r="O43" s="82">
        <v>3645.9</v>
      </c>
      <c r="P43" s="82">
        <v>5114.5</v>
      </c>
      <c r="Q43" s="82">
        <v>4286</v>
      </c>
      <c r="R43" s="82">
        <v>10858.311000000002</v>
      </c>
      <c r="S43" s="82">
        <v>10390.527</v>
      </c>
      <c r="T43" s="82">
        <v>11713.6</v>
      </c>
      <c r="U43" s="82">
        <v>19841.8</v>
      </c>
      <c r="V43" s="82">
        <v>10505.9</v>
      </c>
      <c r="W43" s="82">
        <v>22378.5</v>
      </c>
      <c r="X43" s="71">
        <v>18120.599999999999</v>
      </c>
      <c r="Y43" s="71">
        <v>12719.3</v>
      </c>
      <c r="Z43" s="71">
        <v>26306.400000000001</v>
      </c>
      <c r="AA43" s="82"/>
      <c r="AB43" s="73">
        <v>1542.9</v>
      </c>
      <c r="AC43" s="73">
        <v>6585.8</v>
      </c>
      <c r="AD43" s="73">
        <v>9937.1</v>
      </c>
      <c r="AE43" s="73">
        <v>7898.5</v>
      </c>
      <c r="AF43" s="73">
        <v>12070.7</v>
      </c>
      <c r="AG43" s="73">
        <v>20012.47</v>
      </c>
      <c r="AH43" s="73">
        <v>19277.573000000004</v>
      </c>
      <c r="AI43" s="73">
        <v>16961.919999999998</v>
      </c>
      <c r="AJ43" s="73">
        <v>19851.558000000001</v>
      </c>
      <c r="AK43" s="73">
        <v>22817.038</v>
      </c>
      <c r="AL43" s="73">
        <v>19975.761999999999</v>
      </c>
      <c r="AM43" s="73">
        <v>32099.599999999999</v>
      </c>
      <c r="AN43" s="73"/>
      <c r="AO43" s="84">
        <v>8658.0244999999995</v>
      </c>
      <c r="AP43" s="84">
        <v>10311.643050000001</v>
      </c>
      <c r="AQ43" s="84">
        <v>15205.653249999999</v>
      </c>
      <c r="AR43" s="84">
        <v>11247.277000000002</v>
      </c>
      <c r="AS43" s="84">
        <v>10211.919</v>
      </c>
      <c r="AT43" s="84">
        <v>17968.537530000001</v>
      </c>
      <c r="AU43" s="84">
        <v>10502.920802099998</v>
      </c>
      <c r="AV43" s="84">
        <v>9417.8084024999989</v>
      </c>
      <c r="AW43" s="84">
        <v>15632.199612150001</v>
      </c>
      <c r="AX43" s="84">
        <v>12404.423002</v>
      </c>
      <c r="AY43" s="71">
        <v>9536.9815010000002</v>
      </c>
      <c r="AZ43" s="73">
        <v>30508.393319899995</v>
      </c>
      <c r="BA43" s="73"/>
      <c r="BB43" s="71">
        <v>3850.179693</v>
      </c>
      <c r="BC43" s="73">
        <v>8122.4288259999994</v>
      </c>
      <c r="BD43" s="73">
        <v>11937.125272000001</v>
      </c>
      <c r="BE43" s="73">
        <v>7521.7363809999997</v>
      </c>
      <c r="BF43" s="73">
        <v>9595.9871090000015</v>
      </c>
      <c r="BG43" s="73">
        <v>6217.8535509999992</v>
      </c>
      <c r="BH43" s="73">
        <v>15364.678149099998</v>
      </c>
      <c r="BI43" s="73">
        <v>9291.4750084000007</v>
      </c>
      <c r="BJ43" s="73">
        <v>13568.070331899999</v>
      </c>
      <c r="BK43" s="73">
        <v>15810.779472599999</v>
      </c>
      <c r="BL43" s="73">
        <v>11334.764372700003</v>
      </c>
      <c r="BM43" s="73">
        <v>18431.353421500004</v>
      </c>
      <c r="BN43" s="73"/>
      <c r="BO43" s="71">
        <v>1860.5907120000002</v>
      </c>
      <c r="BP43" s="71">
        <v>4424.0273399999996</v>
      </c>
      <c r="BQ43" s="71">
        <v>5072.6056230000004</v>
      </c>
      <c r="BR43" s="73">
        <v>7910.5577738000011</v>
      </c>
      <c r="BS43" s="73">
        <v>9277.2485370000013</v>
      </c>
      <c r="BT43" s="73">
        <v>6592.5107710000002</v>
      </c>
      <c r="BU43" s="73">
        <v>16968.112383</v>
      </c>
      <c r="BV43" s="73">
        <v>9213.3866127999991</v>
      </c>
      <c r="BW43" s="73">
        <v>6924.7435298</v>
      </c>
      <c r="BX43" s="73">
        <v>14480.735363700001</v>
      </c>
      <c r="BY43" s="79">
        <v>9509.3778349999993</v>
      </c>
      <c r="BZ43" s="79">
        <v>17624.9650855</v>
      </c>
      <c r="CA43" s="79"/>
      <c r="CB43" s="239">
        <v>2436.876213</v>
      </c>
      <c r="CC43" s="239">
        <v>3530.8743640000002</v>
      </c>
      <c r="CD43" s="239">
        <v>3343.7166050000001</v>
      </c>
      <c r="CE43" s="239">
        <v>6651.6794540000001</v>
      </c>
      <c r="CF43" s="239">
        <v>6677.0105050000011</v>
      </c>
      <c r="CG43" s="239">
        <v>8243.2802740000006</v>
      </c>
      <c r="CH43" s="239">
        <v>8398.9781894000007</v>
      </c>
      <c r="CI43" s="239">
        <v>9439.670505</v>
      </c>
      <c r="CJ43" s="239">
        <v>13803.718903999998</v>
      </c>
      <c r="CK43" s="245">
        <v>8909.4067314000004</v>
      </c>
      <c r="CL43" s="245">
        <v>11614.305731600001</v>
      </c>
      <c r="CM43" s="239">
        <v>21506.369557500002</v>
      </c>
      <c r="CN43" s="239">
        <v>2572.2169830000003</v>
      </c>
      <c r="CO43" s="258">
        <v>2572.2169830000003</v>
      </c>
      <c r="CP43" s="258">
        <v>5712.7104140000001</v>
      </c>
      <c r="CQ43" s="258">
        <v>4529.1078450000005</v>
      </c>
      <c r="CR43" s="258">
        <v>7174.2274370000005</v>
      </c>
      <c r="CS43" s="258">
        <v>3646.3531830000006</v>
      </c>
      <c r="CT43" s="258">
        <v>8895.3270286999978</v>
      </c>
      <c r="CU43" s="258">
        <v>11115.450520899998</v>
      </c>
      <c r="CV43" s="258">
        <v>6188.2039968000008</v>
      </c>
      <c r="CW43" s="258">
        <v>12934.879010000001</v>
      </c>
      <c r="CX43" s="261">
        <v>12934.805694199998</v>
      </c>
      <c r="CY43" s="261">
        <v>10438.766099</v>
      </c>
      <c r="CZ43" s="258">
        <v>24944.560830000002</v>
      </c>
      <c r="DA43" s="84"/>
      <c r="DB43" s="258">
        <v>2805.2146149999999</v>
      </c>
      <c r="DC43" s="258">
        <v>4005.2339060000004</v>
      </c>
      <c r="DD43" s="258">
        <v>3293.7279610000005</v>
      </c>
      <c r="DE43" s="258">
        <v>4789.5413011999999</v>
      </c>
      <c r="DF43" s="258">
        <v>7665.7003071999989</v>
      </c>
      <c r="DG43" s="258">
        <v>16202.308869</v>
      </c>
      <c r="DH43" s="258">
        <v>16339.432866599998</v>
      </c>
      <c r="DI43" s="258">
        <v>9819.4344189999993</v>
      </c>
      <c r="DJ43" s="258">
        <v>13228.295464199999</v>
      </c>
      <c r="DK43" s="258">
        <v>19145.328470100001</v>
      </c>
      <c r="DL43" s="258">
        <v>11144.4988299</v>
      </c>
      <c r="DM43" s="258">
        <v>40751.796876199995</v>
      </c>
      <c r="DN43" s="203"/>
      <c r="DO43" s="258">
        <v>1278.5991920000001</v>
      </c>
      <c r="DP43" s="258">
        <v>4711.9271463999994</v>
      </c>
      <c r="DQ43" s="258">
        <v>4135.1394609999998</v>
      </c>
      <c r="DR43" s="258">
        <v>14137.906033000001</v>
      </c>
      <c r="DS43" s="258">
        <v>8387.6685259999995</v>
      </c>
      <c r="DT43" s="258">
        <v>13285.055183999999</v>
      </c>
      <c r="DU43" s="258">
        <v>8731.0887736000004</v>
      </c>
      <c r="DV43" s="258">
        <v>14679.468667000001</v>
      </c>
      <c r="DW43" s="258">
        <v>11406.959948299998</v>
      </c>
      <c r="DX43" s="258">
        <v>16472.773669100003</v>
      </c>
      <c r="DY43" s="258">
        <v>16073.326835499998</v>
      </c>
      <c r="DZ43" s="258">
        <v>52683.5517559</v>
      </c>
      <c r="EB43" s="258">
        <v>2370.2516339999997</v>
      </c>
      <c r="EC43" s="258">
        <v>5972.6988569999994</v>
      </c>
      <c r="ED43" s="258">
        <v>4532.3090150999997</v>
      </c>
      <c r="EE43" s="84">
        <v>4373.1798190000009</v>
      </c>
      <c r="EF43" s="84">
        <v>7190.5631140000005</v>
      </c>
      <c r="EG43" s="84">
        <v>7602.1256800000001</v>
      </c>
      <c r="EH43" s="84"/>
      <c r="EI43" s="84"/>
      <c r="EJ43" s="84"/>
      <c r="EK43" s="84"/>
      <c r="EL43" s="84"/>
      <c r="EM43" s="84"/>
    </row>
    <row r="44" spans="1:143" ht="12.75" hidden="1" customHeight="1">
      <c r="A44" s="75" t="s">
        <v>11</v>
      </c>
      <c r="B44" s="82">
        <v>-4005.9</v>
      </c>
      <c r="C44" s="82">
        <v>-213.3</v>
      </c>
      <c r="D44" s="82">
        <v>-65.400000000000006</v>
      </c>
      <c r="E44" s="82">
        <v>-67.5</v>
      </c>
      <c r="F44" s="82">
        <v>-2184.3000000000002</v>
      </c>
      <c r="G44" s="82">
        <v>-3298.3</v>
      </c>
      <c r="H44" s="82">
        <v>-1112.9000000000001</v>
      </c>
      <c r="I44" s="82">
        <v>-255.1</v>
      </c>
      <c r="J44" s="82">
        <v>-2244.6</v>
      </c>
      <c r="K44" s="82">
        <v>-1272.5999999999999</v>
      </c>
      <c r="L44" s="82">
        <v>-2444</v>
      </c>
      <c r="M44" s="82">
        <v>-1707.1</v>
      </c>
      <c r="N44" s="82"/>
      <c r="O44" s="82">
        <v>-2604.9</v>
      </c>
      <c r="P44" s="82">
        <v>-116.2</v>
      </c>
      <c r="Q44" s="82">
        <v>-887.7</v>
      </c>
      <c r="R44" s="82">
        <v>-2061.6999999999998</v>
      </c>
      <c r="S44" s="82">
        <v>-217</v>
      </c>
      <c r="T44" s="82">
        <v>-972.4</v>
      </c>
      <c r="U44" s="82">
        <v>-166.5</v>
      </c>
      <c r="V44" s="82">
        <v>-3056.2</v>
      </c>
      <c r="W44" s="82">
        <v>-1977.5</v>
      </c>
      <c r="X44" s="71">
        <v>-2117.4</v>
      </c>
      <c r="Y44" s="71">
        <v>-4673.6000000000004</v>
      </c>
      <c r="Z44" s="71">
        <v>-4028.1</v>
      </c>
      <c r="AA44" s="82"/>
      <c r="AB44" s="73">
        <v>-1060</v>
      </c>
      <c r="AC44" s="73">
        <v>-620.6</v>
      </c>
      <c r="AD44" s="73">
        <v>-110.4</v>
      </c>
      <c r="AE44" s="73">
        <v>-1066.8</v>
      </c>
      <c r="AF44" s="73">
        <v>-1067.5</v>
      </c>
      <c r="AG44" s="73">
        <v>-2075.1999999999998</v>
      </c>
      <c r="AH44" s="73">
        <v>-30.5</v>
      </c>
      <c r="AI44" s="73">
        <v>-2038.2</v>
      </c>
      <c r="AJ44" s="73">
        <v>-15</v>
      </c>
      <c r="AK44" s="73">
        <v>-1036.0899999999999</v>
      </c>
      <c r="AL44" s="73">
        <v>-691.6</v>
      </c>
      <c r="AM44" s="73">
        <v>-832.4</v>
      </c>
      <c r="AN44" s="73"/>
      <c r="AO44" s="84">
        <v>24.2</v>
      </c>
      <c r="AP44" s="84">
        <v>-38</v>
      </c>
      <c r="AQ44" s="84">
        <v>-63</v>
      </c>
      <c r="AR44" s="84">
        <v>-46.46</v>
      </c>
      <c r="AS44" s="84">
        <v>-416</v>
      </c>
      <c r="AT44" s="84">
        <v>-18.127740000000003</v>
      </c>
      <c r="AU44" s="84">
        <v>-25.486912</v>
      </c>
      <c r="AV44" s="84">
        <v>-110.828417</v>
      </c>
      <c r="AW44" s="84">
        <v>0.122102</v>
      </c>
      <c r="AX44" s="84">
        <v>152.55418</v>
      </c>
      <c r="AY44" s="71">
        <v>22.059052000000001</v>
      </c>
      <c r="AZ44" s="73">
        <v>-23.924842999999999</v>
      </c>
      <c r="BA44" s="73"/>
      <c r="BB44" s="73">
        <v>-5.3259620000000005</v>
      </c>
      <c r="BC44" s="73">
        <v>-5.6115450000000004</v>
      </c>
      <c r="BD44" s="73">
        <v>-65.837410999999989</v>
      </c>
      <c r="BE44" s="73">
        <v>-89.239581000000001</v>
      </c>
      <c r="BF44" s="73">
        <v>-0.58882500000000004</v>
      </c>
      <c r="BG44" s="73">
        <v>-6.4447869999999998</v>
      </c>
      <c r="BH44" s="73">
        <v>-1214.25596</v>
      </c>
      <c r="BI44" s="73">
        <v>-26.598418000000002</v>
      </c>
      <c r="BJ44" s="73">
        <v>-11.377888</v>
      </c>
      <c r="BK44" s="73">
        <v>-23.007193999999998</v>
      </c>
      <c r="BL44" s="73">
        <v>-0.15187100000000001</v>
      </c>
      <c r="BM44" s="73">
        <v>-1811.157027</v>
      </c>
      <c r="BN44" s="73"/>
      <c r="BO44" s="71">
        <v>-142.348457</v>
      </c>
      <c r="BP44" s="73">
        <v>19.078809</v>
      </c>
      <c r="BQ44" s="73">
        <v>-7.6357200000000001</v>
      </c>
      <c r="BR44" s="73">
        <v>2.2731909999999997</v>
      </c>
      <c r="BS44" s="73">
        <v>-11.002411</v>
      </c>
      <c r="BT44" s="73">
        <v>-312.04508099999998</v>
      </c>
      <c r="BU44" s="73">
        <v>-18.144934000000003</v>
      </c>
      <c r="BV44" s="73">
        <v>-1737.0303899999999</v>
      </c>
      <c r="BW44" s="73">
        <v>-354.50842599999999</v>
      </c>
      <c r="BX44" s="73">
        <v>19.149561000000002</v>
      </c>
      <c r="BY44" s="79">
        <v>-19.271108000000002</v>
      </c>
      <c r="BZ44" s="79">
        <v>-111.058306</v>
      </c>
      <c r="CA44" s="79"/>
      <c r="CB44" s="239">
        <v>-17.780066999999999</v>
      </c>
      <c r="CC44" s="239">
        <v>-407.299013</v>
      </c>
      <c r="CD44" s="239">
        <v>-236.70664000000002</v>
      </c>
      <c r="CE44" s="239">
        <v>-8.0945610000000006</v>
      </c>
      <c r="CF44" s="239">
        <v>-5.0525870000000008</v>
      </c>
      <c r="CG44" s="239">
        <v>-4.4405590000000004</v>
      </c>
      <c r="CH44" s="239">
        <v>-3.9008240000000001</v>
      </c>
      <c r="CI44" s="239">
        <v>-60.534787999999999</v>
      </c>
      <c r="CJ44" s="239">
        <v>-15.929429799999999</v>
      </c>
      <c r="CK44" s="245">
        <v>-234.854457</v>
      </c>
      <c r="CL44" s="245">
        <v>-5.1256219999999999</v>
      </c>
      <c r="CM44" s="239">
        <v>-559.51900000000001</v>
      </c>
      <c r="CN44" s="239">
        <v>-57.876847900000001</v>
      </c>
      <c r="CO44" s="258">
        <v>-57.876847900000001</v>
      </c>
      <c r="CP44" s="258">
        <v>-175.08540299999999</v>
      </c>
      <c r="CQ44" s="258">
        <v>-145.569377</v>
      </c>
      <c r="CR44" s="258">
        <v>-50.390370000000004</v>
      </c>
      <c r="CS44" s="258">
        <v>-876.344245</v>
      </c>
      <c r="CT44" s="258">
        <v>-111.48278599999999</v>
      </c>
      <c r="CU44" s="258">
        <v>-84.680759000000009</v>
      </c>
      <c r="CV44" s="258">
        <v>-19.985723</v>
      </c>
      <c r="CW44" s="258">
        <v>-10.392075999999999</v>
      </c>
      <c r="CX44" s="261">
        <v>-2.4228700000000001</v>
      </c>
      <c r="CY44" s="261">
        <v>-3.1489769999999999</v>
      </c>
      <c r="CZ44" s="84">
        <v>-20.461687000000001</v>
      </c>
      <c r="DA44" s="84"/>
      <c r="DB44" s="258">
        <v>-0.72587000000000002</v>
      </c>
      <c r="DC44" s="258">
        <v>-3.8771990000000001</v>
      </c>
      <c r="DD44" s="258">
        <v>-43.531696000000004</v>
      </c>
      <c r="DE44" s="258">
        <v>-4.3948990000000006</v>
      </c>
      <c r="DF44" s="258">
        <v>-17.016348300000001</v>
      </c>
      <c r="DG44" s="258">
        <v>-1412.0675051000001</v>
      </c>
      <c r="DH44" s="258">
        <v>-15.795461999999999</v>
      </c>
      <c r="DI44" s="258">
        <v>208.43772399999997</v>
      </c>
      <c r="DJ44" s="258">
        <v>-5.5672749999999995</v>
      </c>
      <c r="DK44" s="258">
        <v>-22.90645</v>
      </c>
      <c r="DL44" s="258">
        <v>290.21415000000002</v>
      </c>
      <c r="DM44" s="258">
        <v>-1097.3087849999999</v>
      </c>
      <c r="DN44" s="203"/>
      <c r="DO44" s="258">
        <v>-1336.5263884999999</v>
      </c>
      <c r="DP44" s="258">
        <v>-3.6875013999999999</v>
      </c>
      <c r="DQ44" s="258">
        <v>-1.7762529999999999</v>
      </c>
      <c r="DR44" s="258">
        <v>-0.66358200000000001</v>
      </c>
      <c r="DS44" s="258">
        <v>-8.9695090000000004</v>
      </c>
      <c r="DT44" s="258">
        <v>-15.220733000000001</v>
      </c>
      <c r="DU44" s="258">
        <v>-20.178160299999998</v>
      </c>
      <c r="DV44" s="258">
        <v>-2712.9905576000001</v>
      </c>
      <c r="DW44" s="258">
        <v>-11.067691999999999</v>
      </c>
      <c r="DX44" s="258">
        <v>-681.54102209999996</v>
      </c>
      <c r="DY44" s="258">
        <v>-18.868736000000002</v>
      </c>
      <c r="DZ44" s="258">
        <v>-10.076936</v>
      </c>
      <c r="EB44" s="258">
        <v>-14.2220865</v>
      </c>
      <c r="EC44" s="258">
        <v>-42.355783000000002</v>
      </c>
      <c r="ED44" s="258">
        <v>-17.303901999999997</v>
      </c>
      <c r="EE44" s="84">
        <v>-93.667123799999999</v>
      </c>
      <c r="EF44" s="84">
        <v>-14.926868000000001</v>
      </c>
      <c r="EG44" s="84">
        <v>-108.4637932</v>
      </c>
      <c r="EH44" s="84"/>
      <c r="EI44" s="84"/>
      <c r="EJ44" s="84"/>
      <c r="EK44" s="84"/>
      <c r="EL44" s="84"/>
      <c r="EM44" s="84"/>
    </row>
    <row r="45" spans="1:143" ht="12.75" hidden="1" customHeight="1">
      <c r="A45" s="203" t="s">
        <v>102</v>
      </c>
      <c r="B45" s="82">
        <f t="shared" ref="B45:M45" si="169">+B36-B41-B42</f>
        <v>18013.971733333336</v>
      </c>
      <c r="C45" s="82">
        <f t="shared" si="169"/>
        <v>-3334.1282666666712</v>
      </c>
      <c r="D45" s="82">
        <f t="shared" si="169"/>
        <v>-4232.9282666666641</v>
      </c>
      <c r="E45" s="82">
        <f t="shared" si="169"/>
        <v>-8405.4920666666658</v>
      </c>
      <c r="F45" s="82">
        <f t="shared" si="169"/>
        <v>6298.9079333333293</v>
      </c>
      <c r="G45" s="82">
        <f t="shared" si="169"/>
        <v>1110.6079333333446</v>
      </c>
      <c r="H45" s="82">
        <f t="shared" si="169"/>
        <v>-10674.162736666656</v>
      </c>
      <c r="I45" s="82">
        <f t="shared" si="169"/>
        <v>-4190.6627366666689</v>
      </c>
      <c r="J45" s="82">
        <f t="shared" si="169"/>
        <v>4970.7372633333289</v>
      </c>
      <c r="K45" s="82">
        <f t="shared" si="169"/>
        <v>-1122.3035966666703</v>
      </c>
      <c r="L45" s="82">
        <f t="shared" si="169"/>
        <v>17469.296403333345</v>
      </c>
      <c r="M45" s="82">
        <f t="shared" si="169"/>
        <v>-42128.403596666678</v>
      </c>
      <c r="N45" s="82"/>
      <c r="O45" s="82">
        <f t="shared" ref="O45:Z45" si="170">+O36-O41-O42</f>
        <v>12382.500000000004</v>
      </c>
      <c r="P45" s="82">
        <f t="shared" si="170"/>
        <v>-12211.713999999989</v>
      </c>
      <c r="Q45" s="82">
        <f t="shared" si="170"/>
        <v>8988.7379999999939</v>
      </c>
      <c r="R45" s="82">
        <f t="shared" si="170"/>
        <v>-6886.4109999999964</v>
      </c>
      <c r="S45" s="82">
        <f t="shared" si="170"/>
        <v>4036.1730000000043</v>
      </c>
      <c r="T45" s="82">
        <f t="shared" si="170"/>
        <v>-2798.7999999999993</v>
      </c>
      <c r="U45" s="82">
        <f t="shared" si="170"/>
        <v>-11659.3</v>
      </c>
      <c r="V45" s="82">
        <f t="shared" si="170"/>
        <v>3577.7610000000032</v>
      </c>
      <c r="W45" s="82">
        <f t="shared" si="170"/>
        <v>-14532.268000000004</v>
      </c>
      <c r="X45" s="82">
        <f t="shared" si="170"/>
        <v>-786.899999999996</v>
      </c>
      <c r="Y45" s="82">
        <f t="shared" si="170"/>
        <v>8057.5999999999967</v>
      </c>
      <c r="Z45" s="82">
        <f t="shared" si="170"/>
        <v>-32485.187000000013</v>
      </c>
      <c r="AA45" s="82"/>
      <c r="AB45" s="73">
        <f t="shared" ref="AB45:AM45" si="171">+AB36-AB41-AB42</f>
        <v>4969.7999999999975</v>
      </c>
      <c r="AC45" s="73">
        <f t="shared" si="171"/>
        <v>-24021.399999999998</v>
      </c>
      <c r="AD45" s="73">
        <f t="shared" si="171"/>
        <v>-7043.5000000000036</v>
      </c>
      <c r="AE45" s="73">
        <f t="shared" si="171"/>
        <v>-11823.000000000004</v>
      </c>
      <c r="AF45" s="73">
        <f t="shared" si="171"/>
        <v>-19914.645000000008</v>
      </c>
      <c r="AG45" s="73">
        <f t="shared" si="171"/>
        <v>-24864.66</v>
      </c>
      <c r="AH45" s="73">
        <f t="shared" si="171"/>
        <v>-30762.993999999992</v>
      </c>
      <c r="AI45" s="73">
        <f t="shared" si="171"/>
        <v>-19055.919999999995</v>
      </c>
      <c r="AJ45" s="73">
        <f t="shared" si="171"/>
        <v>-24847.398000000005</v>
      </c>
      <c r="AK45" s="73">
        <f t="shared" si="171"/>
        <v>-25938.908999999981</v>
      </c>
      <c r="AL45" s="73">
        <f t="shared" si="171"/>
        <v>-17454.221999999998</v>
      </c>
      <c r="AM45" s="73">
        <f t="shared" si="171"/>
        <v>-44404.599999999991</v>
      </c>
      <c r="AN45" s="73"/>
      <c r="AO45" s="73">
        <f t="shared" ref="AO45:BP45" si="172">+AO36-AO41-AO42</f>
        <v>6375.5655000000006</v>
      </c>
      <c r="AP45" s="73">
        <f t="shared" si="172"/>
        <v>-22096.614049999989</v>
      </c>
      <c r="AQ45" s="73">
        <f t="shared" si="172"/>
        <v>-15840.373249999993</v>
      </c>
      <c r="AR45" s="73">
        <f t="shared" si="172"/>
        <v>-7137.1697070000009</v>
      </c>
      <c r="AS45" s="73">
        <f t="shared" si="172"/>
        <v>-5963.3589999999949</v>
      </c>
      <c r="AT45" s="73">
        <f t="shared" si="172"/>
        <v>-15457.236575700019</v>
      </c>
      <c r="AU45" s="73">
        <f t="shared" si="172"/>
        <v>-9845.3257287999841</v>
      </c>
      <c r="AV45" s="73">
        <f t="shared" si="172"/>
        <v>-4898.374950399997</v>
      </c>
      <c r="AW45" s="73">
        <f t="shared" si="172"/>
        <v>-11304.657614750004</v>
      </c>
      <c r="AX45" s="73">
        <f t="shared" si="172"/>
        <v>-16147.581803199992</v>
      </c>
      <c r="AY45" s="73">
        <f t="shared" si="172"/>
        <v>-14436.591219900018</v>
      </c>
      <c r="AZ45" s="73">
        <f t="shared" si="172"/>
        <v>-55937.978733599979</v>
      </c>
      <c r="BB45" s="73">
        <f t="shared" si="172"/>
        <v>17255.337870899992</v>
      </c>
      <c r="BC45" s="73">
        <f t="shared" si="172"/>
        <v>-18486.54636370001</v>
      </c>
      <c r="BD45" s="73">
        <f t="shared" si="172"/>
        <v>-12978.341702900001</v>
      </c>
      <c r="BE45" s="73">
        <f t="shared" si="172"/>
        <v>-1641.0746608999971</v>
      </c>
      <c r="BF45" s="73">
        <f t="shared" si="172"/>
        <v>-7463.8078375000023</v>
      </c>
      <c r="BG45" s="73">
        <f t="shared" si="172"/>
        <v>-1182.3042490999933</v>
      </c>
      <c r="BH45" s="73">
        <f t="shared" si="172"/>
        <v>-9329.5765712000211</v>
      </c>
      <c r="BI45" s="73">
        <f t="shared" si="172"/>
        <v>-6615.6638270000167</v>
      </c>
      <c r="BJ45" s="73">
        <f t="shared" si="172"/>
        <v>-7130.5669345000042</v>
      </c>
      <c r="BK45" s="73">
        <f t="shared" si="172"/>
        <v>-18303.584547099992</v>
      </c>
      <c r="BL45" s="73">
        <f t="shared" si="172"/>
        <v>-10288.117547000018</v>
      </c>
      <c r="BM45" s="73">
        <f t="shared" si="172"/>
        <v>-31762.673465500004</v>
      </c>
      <c r="BN45" s="73"/>
      <c r="BO45" s="73">
        <f t="shared" si="172"/>
        <v>20037.259307200005</v>
      </c>
      <c r="BP45" s="73">
        <f t="shared" si="172"/>
        <v>-20938.610701700003</v>
      </c>
      <c r="BQ45" s="73">
        <f t="shared" ref="BQ45:CC45" si="173">+BQ36-BQ41-BQ42</f>
        <v>-6238.9780495000114</v>
      </c>
      <c r="BR45" s="73">
        <f t="shared" si="173"/>
        <v>-8904.9732259000029</v>
      </c>
      <c r="BS45" s="73">
        <f t="shared" si="173"/>
        <v>-3611.0311444000145</v>
      </c>
      <c r="BT45" s="73">
        <f t="shared" si="173"/>
        <v>-72.822951600001943</v>
      </c>
      <c r="BU45" s="73">
        <f t="shared" si="173"/>
        <v>-16688.192165700002</v>
      </c>
      <c r="BV45" s="73">
        <f t="shared" si="173"/>
        <v>4104.5125811999987</v>
      </c>
      <c r="BW45" s="73">
        <f t="shared" si="173"/>
        <v>3636.7330310000161</v>
      </c>
      <c r="BX45" s="79">
        <f t="shared" si="173"/>
        <v>-11922.643128799986</v>
      </c>
      <c r="BY45" s="79">
        <f t="shared" si="173"/>
        <v>4767.8129076000259</v>
      </c>
      <c r="BZ45" s="79">
        <f t="shared" si="173"/>
        <v>-27006.879375399993</v>
      </c>
      <c r="CA45" s="79"/>
      <c r="CB45" s="239">
        <f t="shared" si="173"/>
        <v>27220.278444499989</v>
      </c>
      <c r="CC45" s="239">
        <f t="shared" si="173"/>
        <v>-7750.2150957000058</v>
      </c>
      <c r="CD45" s="239">
        <f t="shared" ref="CD45:CI45" si="174">+CD36-CD41-CD42</f>
        <v>-1417.4983112</v>
      </c>
      <c r="CE45" s="239">
        <f t="shared" si="174"/>
        <v>-293.38736680000966</v>
      </c>
      <c r="CF45" s="239">
        <f t="shared" si="174"/>
        <v>1263.7635407999906</v>
      </c>
      <c r="CG45" s="239">
        <f t="shared" si="174"/>
        <v>11200.397378000018</v>
      </c>
      <c r="CH45" s="239">
        <f t="shared" si="174"/>
        <v>3186.4351182000028</v>
      </c>
      <c r="CI45" s="239">
        <f t="shared" si="174"/>
        <v>5174.0879952000087</v>
      </c>
      <c r="CJ45" s="239">
        <v>2985.3121317000041</v>
      </c>
      <c r="CK45" s="203">
        <v>-16372.972490321554</v>
      </c>
      <c r="CL45" s="203">
        <v>-1667.7670764000068</v>
      </c>
      <c r="CM45" s="239">
        <v>-93223.722502400007</v>
      </c>
      <c r="CN45" s="239"/>
      <c r="CO45" s="258">
        <v>28721.337523699978</v>
      </c>
      <c r="CP45" s="258">
        <v>-15882.069884699988</v>
      </c>
      <c r="CQ45" s="258">
        <v>-15963.824884699992</v>
      </c>
      <c r="CR45" s="258">
        <v>-2605.1676538000029</v>
      </c>
      <c r="CS45" s="258">
        <v>9417.8561857000022</v>
      </c>
      <c r="CT45" s="258">
        <v>8898.5385604000185</v>
      </c>
      <c r="CU45" s="258">
        <v>-15106.109730800003</v>
      </c>
      <c r="CV45" s="258">
        <v>2960.0360801000061</v>
      </c>
      <c r="CW45" s="258">
        <v>-8437.1966376999917</v>
      </c>
      <c r="CX45" s="84">
        <v>-14333.405130250001</v>
      </c>
      <c r="CY45" s="84">
        <v>-15464.319059200003</v>
      </c>
      <c r="CZ45" s="258">
        <v>-59180.809615999984</v>
      </c>
      <c r="DA45" s="84"/>
      <c r="DB45" s="258">
        <f t="shared" ref="DB45:DM45" si="175">DB36-DB41-DB42</f>
        <v>17508.84351119999</v>
      </c>
      <c r="DC45" s="258">
        <f t="shared" si="175"/>
        <v>-24750.469580799996</v>
      </c>
      <c r="DD45" s="258">
        <f t="shared" si="175"/>
        <v>-15599.748225800018</v>
      </c>
      <c r="DE45" s="258">
        <f t="shared" si="175"/>
        <v>-19321.176359300007</v>
      </c>
      <c r="DF45" s="258">
        <f t="shared" si="175"/>
        <v>-9472.2653456999669</v>
      </c>
      <c r="DG45" s="258">
        <f t="shared" si="175"/>
        <v>-9597.2338079000183</v>
      </c>
      <c r="DH45" s="258">
        <f t="shared" si="175"/>
        <v>-35262.192465400018</v>
      </c>
      <c r="DI45" s="258">
        <f t="shared" si="175"/>
        <v>1664.2997541000095</v>
      </c>
      <c r="DJ45" s="258">
        <f t="shared" si="175"/>
        <v>-20163.323225299984</v>
      </c>
      <c r="DK45" s="258">
        <f t="shared" si="175"/>
        <v>-41825.184601400004</v>
      </c>
      <c r="DL45" s="258">
        <f t="shared" si="175"/>
        <v>-6256.473867200013</v>
      </c>
      <c r="DM45" s="258">
        <f t="shared" si="175"/>
        <v>-80088.831423799958</v>
      </c>
      <c r="DN45" s="203"/>
      <c r="DO45" s="258">
        <v>20451.799084300001</v>
      </c>
      <c r="DP45" s="258">
        <v>-33149.602072299997</v>
      </c>
      <c r="DQ45" s="258">
        <v>-24638.290534100001</v>
      </c>
      <c r="DR45" s="258">
        <v>-28389.508108700014</v>
      </c>
      <c r="DS45" s="258">
        <v>-10955.758379500039</v>
      </c>
      <c r="DT45" s="258">
        <v>-14646.787087300007</v>
      </c>
      <c r="DU45" s="258">
        <v>-32412.612504599994</v>
      </c>
      <c r="DV45" s="258">
        <v>-9425.5092826999899</v>
      </c>
      <c r="DW45" s="258">
        <v>-19354.145301100027</v>
      </c>
      <c r="DX45" s="258">
        <v>-46520.090771400006</v>
      </c>
      <c r="DY45" s="258">
        <v>-16983.090756999998</v>
      </c>
      <c r="DZ45" s="258">
        <v>-69411.362923900015</v>
      </c>
      <c r="EB45" s="258">
        <v>23477.387879799964</v>
      </c>
      <c r="EC45" s="258">
        <v>-25768.597264000011</v>
      </c>
      <c r="ED45" s="258">
        <v>-18343.187196699946</v>
      </c>
      <c r="EE45" s="84">
        <v>5664.8619012999843</v>
      </c>
      <c r="EF45" s="84">
        <v>-29321.546591900013</v>
      </c>
      <c r="EG45" s="84">
        <v>2427.616311699996</v>
      </c>
      <c r="EH45" s="84"/>
      <c r="EI45" s="84"/>
      <c r="EJ45" s="84"/>
      <c r="EK45" s="84"/>
      <c r="EL45" s="84"/>
      <c r="EM45" s="84"/>
    </row>
    <row r="46" spans="1:143" ht="12.75" hidden="1" customHeight="1">
      <c r="A46" s="78" t="s">
        <v>12</v>
      </c>
      <c r="B46" s="82">
        <v>-1696.4</v>
      </c>
      <c r="C46" s="82">
        <v>-1384.2</v>
      </c>
      <c r="D46" s="82">
        <v>-1636.8</v>
      </c>
      <c r="E46" s="82">
        <v>-2007.2</v>
      </c>
      <c r="F46" s="82">
        <v>-2135.8000000000002</v>
      </c>
      <c r="G46" s="82">
        <v>-1657.1</v>
      </c>
      <c r="H46" s="82">
        <v>-2271.6999999999998</v>
      </c>
      <c r="I46" s="82">
        <v>-1903.3</v>
      </c>
      <c r="J46" s="82">
        <v>-2193.4</v>
      </c>
      <c r="K46" s="82">
        <v>-2428.1</v>
      </c>
      <c r="L46" s="82">
        <v>-1936.5</v>
      </c>
      <c r="M46" s="82">
        <v>-1835.7</v>
      </c>
      <c r="N46" s="82"/>
      <c r="O46" s="82">
        <v>-2009.2</v>
      </c>
      <c r="P46" s="82">
        <v>-2090.6</v>
      </c>
      <c r="Q46" s="82">
        <v>-1908.8</v>
      </c>
      <c r="R46" s="82">
        <v>-2298</v>
      </c>
      <c r="S46" s="82">
        <v>-2223.9</v>
      </c>
      <c r="T46" s="82">
        <v>-2818.3</v>
      </c>
      <c r="U46" s="82">
        <v>-2550.1999999999998</v>
      </c>
      <c r="V46" s="82">
        <v>-2601.5</v>
      </c>
      <c r="W46" s="82">
        <v>-2569.4</v>
      </c>
      <c r="X46" s="79">
        <v>-1982.5</v>
      </c>
      <c r="Y46" s="79">
        <v>-1935.6</v>
      </c>
      <c r="Z46" s="71">
        <v>-1502.3</v>
      </c>
      <c r="AA46" s="82"/>
      <c r="AB46" s="73">
        <v>-2387.5</v>
      </c>
      <c r="AC46" s="73">
        <v>-5381.3</v>
      </c>
      <c r="AD46" s="73">
        <v>-2418.6999999999998</v>
      </c>
      <c r="AE46" s="73">
        <v>-3673.1</v>
      </c>
      <c r="AF46" s="73">
        <v>706.3</v>
      </c>
      <c r="AG46" s="73">
        <v>-3555.9</v>
      </c>
      <c r="AH46" s="73">
        <v>-27228.782999999999</v>
      </c>
      <c r="AI46" s="73">
        <v>-2403.8000000000002</v>
      </c>
      <c r="AJ46" s="73">
        <v>-13082.5</v>
      </c>
      <c r="AK46" s="73">
        <v>-5401.6</v>
      </c>
      <c r="AL46" s="73">
        <v>-25907.599999999999</v>
      </c>
      <c r="AM46" s="73">
        <v>-15354.9</v>
      </c>
      <c r="AN46" s="73"/>
      <c r="AO46" s="73">
        <v>1251.6999999999998</v>
      </c>
      <c r="AP46" s="73">
        <v>-47.730000000000018</v>
      </c>
      <c r="AQ46" s="73">
        <v>-2076.3000000000002</v>
      </c>
      <c r="AR46" s="73">
        <v>-8853.2000000000007</v>
      </c>
      <c r="AS46" s="73">
        <v>-3205.16363</v>
      </c>
      <c r="AT46" s="93">
        <v>-2420.7000000000003</v>
      </c>
      <c r="AU46" s="89">
        <v>-8146.6432034999998</v>
      </c>
      <c r="AV46" s="89">
        <v>-2766</v>
      </c>
      <c r="AW46" s="93">
        <v>-2477.3000000000002</v>
      </c>
      <c r="AX46" s="73">
        <v>-3339.9450200000001</v>
      </c>
      <c r="AY46" s="71">
        <v>-1667.5094609999996</v>
      </c>
      <c r="AZ46" s="73">
        <v>-1014.3396719999998</v>
      </c>
      <c r="BA46" s="73"/>
      <c r="BB46" s="71">
        <v>-3142.8099029999998</v>
      </c>
      <c r="BC46" s="73">
        <v>-2803.7908820000002</v>
      </c>
      <c r="BD46" s="73">
        <v>-4422.1245956000002</v>
      </c>
      <c r="BE46" s="73">
        <v>-5743.993856000001</v>
      </c>
      <c r="BF46" s="73">
        <v>-3002.0394630000001</v>
      </c>
      <c r="BG46" s="73">
        <v>-1002.2741454000002</v>
      </c>
      <c r="BH46" s="73">
        <v>-2826.1503346</v>
      </c>
      <c r="BI46" s="73">
        <v>2221.0946901999996</v>
      </c>
      <c r="BJ46" s="73">
        <v>-1873.2678479999997</v>
      </c>
      <c r="BK46" s="73">
        <v>-4949.6248654000001</v>
      </c>
      <c r="BL46" s="73">
        <v>-4904.7665679999991</v>
      </c>
      <c r="BM46" s="73">
        <v>773.00826389999838</v>
      </c>
      <c r="BN46" s="73"/>
      <c r="BO46" s="73">
        <v>-1001.1706029000002</v>
      </c>
      <c r="BP46" s="73">
        <v>-2453.6465436999997</v>
      </c>
      <c r="BQ46" s="73">
        <v>-1888.3910288999996</v>
      </c>
      <c r="BR46" s="73">
        <v>-5205.7923110000002</v>
      </c>
      <c r="BS46" s="73">
        <v>-5717.8595071999998</v>
      </c>
      <c r="BT46" s="73">
        <v>-1220.8237857999993</v>
      </c>
      <c r="BU46" s="73">
        <v>-3673.7629505999998</v>
      </c>
      <c r="BV46" s="73">
        <v>-10685.0006039</v>
      </c>
      <c r="BW46" s="73">
        <v>-768.6648610000002</v>
      </c>
      <c r="BX46" s="73">
        <v>-5418.6640350000007</v>
      </c>
      <c r="BY46" s="79">
        <v>-346.97260299999789</v>
      </c>
      <c r="BZ46" s="79">
        <v>14233.601156799999</v>
      </c>
      <c r="CA46" s="79"/>
      <c r="CB46" s="239">
        <v>-3681.558742000002</v>
      </c>
      <c r="CC46" s="239">
        <v>-5272.1848677999978</v>
      </c>
      <c r="CD46" s="239">
        <v>-5080.7360980000012</v>
      </c>
      <c r="CE46" s="239">
        <v>-6296.3501810000016</v>
      </c>
      <c r="CF46" s="203">
        <v>-6925.2593549999983</v>
      </c>
      <c r="CG46" s="239">
        <v>3266.6204526000006</v>
      </c>
      <c r="CH46" s="239">
        <v>-4588.5848800000003</v>
      </c>
      <c r="CI46" s="239">
        <v>-4287.0871230999983</v>
      </c>
      <c r="CJ46" s="239">
        <v>-3252.6580649999996</v>
      </c>
      <c r="CK46" s="203">
        <v>-12336.3619039</v>
      </c>
      <c r="CL46" s="203">
        <v>-13242.423898000001</v>
      </c>
      <c r="CM46" s="239">
        <v>2235.8172743999999</v>
      </c>
      <c r="CN46" s="239">
        <v>-4011.4313819999998</v>
      </c>
      <c r="CO46" s="258">
        <v>-4011.4313819999998</v>
      </c>
      <c r="CP46" s="258">
        <v>-5145.3505381999994</v>
      </c>
      <c r="CQ46" s="258">
        <v>-10959.076037999999</v>
      </c>
      <c r="CR46" s="258">
        <v>-5582.6748719999996</v>
      </c>
      <c r="CS46" s="258">
        <v>-15105.801890999999</v>
      </c>
      <c r="CT46" s="258">
        <v>2859.9229526999998</v>
      </c>
      <c r="CU46" s="258">
        <v>-13444.356542000001</v>
      </c>
      <c r="CV46" s="258">
        <v>-3699.4393206999994</v>
      </c>
      <c r="CW46" s="258">
        <v>-751.39334050000025</v>
      </c>
      <c r="CX46" s="258">
        <v>-11474.5</v>
      </c>
      <c r="CY46" s="258">
        <v>-283.39999999999998</v>
      </c>
      <c r="CZ46" s="258">
        <v>5729</v>
      </c>
      <c r="DA46" s="84"/>
      <c r="DB46" s="258">
        <v>-2495.8999999999996</v>
      </c>
      <c r="DC46" s="258">
        <v>-7369.8890749999991</v>
      </c>
      <c r="DD46" s="258">
        <v>-2016.8812762</v>
      </c>
      <c r="DE46" s="258">
        <v>-16571.357848</v>
      </c>
      <c r="DF46" s="258">
        <v>-5311.5813146</v>
      </c>
      <c r="DG46" s="258">
        <v>209.24641989999964</v>
      </c>
      <c r="DH46" s="258">
        <v>-3254.5436869999999</v>
      </c>
      <c r="DI46" s="258">
        <v>-11751.778645799999</v>
      </c>
      <c r="DJ46" s="258">
        <v>-3077.3636509999997</v>
      </c>
      <c r="DK46" s="258">
        <v>-13125.525653999999</v>
      </c>
      <c r="DL46" s="258">
        <v>2472.1119591000006</v>
      </c>
      <c r="DM46" s="258">
        <v>7721.4692285000001</v>
      </c>
      <c r="DN46" s="203"/>
      <c r="DO46" s="258">
        <v>-2867.3759866999999</v>
      </c>
      <c r="DP46" s="258">
        <v>-6563.5219376000005</v>
      </c>
      <c r="DQ46" s="258">
        <v>-2523.0382000000004</v>
      </c>
      <c r="DR46" s="258">
        <v>-6740.2045304999992</v>
      </c>
      <c r="DS46" s="258">
        <v>-6197.9417486000002</v>
      </c>
      <c r="DT46" s="258">
        <v>-15552.985362399999</v>
      </c>
      <c r="DU46" s="258">
        <v>-3722.6016409999997</v>
      </c>
      <c r="DV46" s="258">
        <v>-13327.7924759</v>
      </c>
      <c r="DW46" s="258">
        <v>-6455.3830570000009</v>
      </c>
      <c r="DX46" s="258">
        <v>-2224.5890455999997</v>
      </c>
      <c r="DY46" s="258">
        <v>-6356.9242276999994</v>
      </c>
      <c r="DZ46" s="258">
        <v>-5104.0839651000015</v>
      </c>
      <c r="EB46" s="84">
        <v>-5506.356777</v>
      </c>
      <c r="EC46" s="84">
        <v>-1843.5419149000002</v>
      </c>
      <c r="ED46" s="84">
        <v>-3286.1781499999993</v>
      </c>
      <c r="EE46" s="84">
        <v>-3598.6120249999999</v>
      </c>
      <c r="EF46" s="84">
        <v>-3311.8422350999999</v>
      </c>
      <c r="EG46" s="84">
        <v>-3784.5561881999997</v>
      </c>
      <c r="EH46" s="84"/>
      <c r="EI46" s="84"/>
      <c r="EJ46" s="84"/>
      <c r="EK46" s="84"/>
      <c r="EL46" s="84"/>
      <c r="EM46" s="84"/>
    </row>
    <row r="47" spans="1:143" ht="12.75" hidden="1" customHeight="1">
      <c r="A47" s="71" t="s">
        <v>23</v>
      </c>
      <c r="B47" s="147"/>
      <c r="C47" s="147"/>
      <c r="D47" s="148">
        <f>+Real!P8</f>
        <v>422193.70000000007</v>
      </c>
      <c r="E47" s="147"/>
      <c r="F47" s="147"/>
      <c r="G47" s="148">
        <f>+D47+Real!S8</f>
        <v>1104737</v>
      </c>
      <c r="H47" s="147"/>
      <c r="I47" s="147"/>
      <c r="J47" s="148">
        <f>+G47+Real!V8</f>
        <v>2133612.6999999997</v>
      </c>
      <c r="K47" s="147"/>
      <c r="L47" s="149"/>
      <c r="M47" s="148">
        <f>+J47+Real!Y8</f>
        <v>3149283.4</v>
      </c>
      <c r="N47" s="148"/>
      <c r="O47" s="147"/>
      <c r="P47" s="147"/>
      <c r="Q47" s="148">
        <f>+Real!AC8</f>
        <v>509579.1</v>
      </c>
      <c r="R47" s="147"/>
      <c r="S47" s="147"/>
      <c r="T47" s="148">
        <f>+Q47+Real!AF8</f>
        <v>1294186</v>
      </c>
      <c r="U47" s="147"/>
      <c r="V47" s="147"/>
      <c r="W47" s="148">
        <f>+T47+Real!AI8</f>
        <v>2543627.1</v>
      </c>
      <c r="X47" s="147"/>
      <c r="Y47" s="149"/>
      <c r="Z47" s="148">
        <f>+W47+Real!AL8</f>
        <v>3568227.6</v>
      </c>
      <c r="AA47" s="148"/>
      <c r="AB47" s="147"/>
      <c r="AC47" s="147"/>
      <c r="AD47" s="148">
        <f>+Real!AP8</f>
        <v>493759.4</v>
      </c>
      <c r="AE47" s="147"/>
      <c r="AF47" s="147"/>
      <c r="AG47" s="148">
        <f>+AD47+Real!AS8</f>
        <v>1153086.2000000002</v>
      </c>
      <c r="AH47" s="147"/>
      <c r="AI47" s="147"/>
      <c r="AJ47" s="148">
        <f>+AG47+Real!AV8</f>
        <v>2133434.3000000003</v>
      </c>
      <c r="AK47" s="147"/>
      <c r="AL47" s="149"/>
      <c r="AM47" s="148">
        <f>+AJ47+Real!AY8</f>
        <v>3141651.0000000005</v>
      </c>
      <c r="AN47" s="148"/>
      <c r="AO47" s="147"/>
      <c r="AP47" s="147"/>
      <c r="AQ47" s="148">
        <f>+Real!BC8</f>
        <v>544363.5</v>
      </c>
      <c r="AR47" s="147"/>
      <c r="AS47" s="147"/>
      <c r="AT47" s="148">
        <f>+AQ47+Real!BF8</f>
        <v>1280144.7000000002</v>
      </c>
      <c r="AU47" s="147"/>
      <c r="AV47" s="147"/>
      <c r="AW47" s="148">
        <f>+AT47+Real!BI8</f>
        <v>2328941.4000000004</v>
      </c>
      <c r="AX47" s="147"/>
      <c r="AY47" s="149"/>
      <c r="AZ47" s="148">
        <f>+AW47+Real!BL8</f>
        <v>3460202.7</v>
      </c>
      <c r="BA47" s="93"/>
      <c r="BB47" s="147"/>
      <c r="BC47" s="147"/>
      <c r="BD47" s="148">
        <f>+Real!BP8</f>
        <v>612136.59999999986</v>
      </c>
      <c r="BE47" s="147"/>
      <c r="BF47" s="147"/>
      <c r="BG47" s="148">
        <f>+BD47+Real!BS8</f>
        <v>1428244.4</v>
      </c>
      <c r="BH47" s="147"/>
      <c r="BI47" s="147"/>
      <c r="BJ47" s="148">
        <f>+BG47+Real!BV8</f>
        <v>2574834.2999999998</v>
      </c>
      <c r="BK47" s="147"/>
      <c r="BL47" s="149"/>
      <c r="BM47" s="148">
        <f>+BJ47+Real!BY8</f>
        <v>3777945.6000000001</v>
      </c>
      <c r="BN47" s="149"/>
      <c r="BO47" s="149"/>
      <c r="BP47" s="149"/>
      <c r="BQ47" s="148">
        <f>+Real!CC8</f>
        <v>658957.80000000005</v>
      </c>
      <c r="BT47" s="148">
        <f>+BQ47+Real!CF8</f>
        <v>1545193.2000000002</v>
      </c>
      <c r="BW47" s="148">
        <f>+BT47+Real!CI8</f>
        <v>2762715.5</v>
      </c>
      <c r="BZ47" s="148">
        <f>+BW47+Real!CL8</f>
        <v>4000722</v>
      </c>
      <c r="CD47" s="246">
        <f>+Real!CP8</f>
        <v>715919.1</v>
      </c>
      <c r="CE47" s="203"/>
      <c r="CF47" s="203"/>
      <c r="CG47" s="246">
        <f>+Real!CS8+CD47</f>
        <v>1619925.5</v>
      </c>
      <c r="CH47" s="203"/>
      <c r="CI47" s="203"/>
      <c r="CJ47" s="246">
        <f>+Real!CV8+CG47</f>
        <v>2915313.6</v>
      </c>
      <c r="CK47" s="203"/>
      <c r="CL47" s="203"/>
      <c r="CM47" s="246">
        <f>Real!CY8+CJ47</f>
        <v>4276200.9000000004</v>
      </c>
      <c r="CN47" s="203"/>
      <c r="CO47" s="203"/>
      <c r="CP47" s="203"/>
      <c r="CQ47" s="246">
        <f>Real!DC8</f>
        <v>743140.9</v>
      </c>
      <c r="CR47" s="203"/>
      <c r="CS47" s="203"/>
      <c r="CT47" s="246">
        <f>Real!DF8+CQ47</f>
        <v>1694116.6</v>
      </c>
      <c r="CU47" s="203"/>
      <c r="CV47" s="203"/>
      <c r="CW47" s="246">
        <f>CT47+Real!DI8</f>
        <v>3065351.9000000004</v>
      </c>
      <c r="CZ47" s="246">
        <f>CW47+Real!DL8</f>
        <v>4528873.1000000006</v>
      </c>
      <c r="DB47" s="203"/>
      <c r="DC47" s="203"/>
      <c r="DD47" s="246">
        <f>Real!DP8</f>
        <v>876541.6</v>
      </c>
      <c r="DE47" s="203"/>
      <c r="DF47" s="203"/>
      <c r="DG47" s="246">
        <f>Real!DS8+DD47</f>
        <v>1979201.7000000002</v>
      </c>
      <c r="DH47" s="203"/>
      <c r="DI47" s="203"/>
      <c r="DJ47" s="246">
        <f>Real!DV8+DG47</f>
        <v>3500855.2</v>
      </c>
      <c r="DK47" s="203"/>
      <c r="DL47" s="203"/>
      <c r="DM47" s="246">
        <f>Real!DY8+DJ47</f>
        <v>5032089</v>
      </c>
      <c r="DN47" s="203"/>
      <c r="DO47" s="203"/>
      <c r="DP47" s="203"/>
      <c r="DQ47" s="246">
        <f>Real!EC8</f>
        <v>898570.2</v>
      </c>
      <c r="DR47" s="203"/>
      <c r="DT47" s="246">
        <f>Real!EF8+DQ47</f>
        <v>2032688.5</v>
      </c>
      <c r="DW47" s="246">
        <f>Real!EI8+DT47</f>
        <v>3553161.4</v>
      </c>
      <c r="DZ47" s="246">
        <f>Real!EL8+DW47</f>
        <v>5067868.2</v>
      </c>
      <c r="ED47" s="246">
        <f>Real!EP8</f>
        <v>971903.99999999977</v>
      </c>
      <c r="EE47" s="203"/>
      <c r="EG47" s="246">
        <f>Real!ES8+ED47</f>
        <v>2177007.3999999994</v>
      </c>
      <c r="EJ47" s="246">
        <f>Real!EV8+EG47</f>
        <v>2177007.3999999994</v>
      </c>
    </row>
    <row r="48" spans="1:143" s="61" customFormat="1" hidden="1">
      <c r="A48" s="85"/>
      <c r="B48" s="85"/>
      <c r="C48" s="85"/>
      <c r="D48" s="85"/>
      <c r="E48" s="85"/>
      <c r="F48" s="85"/>
      <c r="G48" s="85"/>
      <c r="H48" s="85"/>
      <c r="I48" s="85"/>
      <c r="J48" s="85"/>
      <c r="K48" s="85"/>
      <c r="L48" s="85"/>
      <c r="M48" s="85"/>
      <c r="Z48" s="85"/>
      <c r="AA48" s="85"/>
      <c r="AB48" s="85"/>
      <c r="AC48" s="85"/>
      <c r="BB48" s="90"/>
      <c r="BC48" s="90"/>
      <c r="BD48" s="90"/>
      <c r="BE48" s="90"/>
      <c r="BF48" s="90"/>
      <c r="BG48" s="90"/>
      <c r="BH48" s="90"/>
      <c r="BI48" s="90"/>
      <c r="BJ48" s="90"/>
      <c r="BK48" s="90"/>
    </row>
    <row r="49" spans="1:143" ht="6.6" customHeight="1">
      <c r="BB49" s="73"/>
      <c r="BC49" s="73"/>
      <c r="BD49" s="73"/>
      <c r="BE49" s="73"/>
      <c r="BF49" s="73"/>
      <c r="BG49" s="73"/>
      <c r="BH49" s="73"/>
      <c r="BI49" s="73"/>
      <c r="BJ49" s="73"/>
      <c r="BK49" s="73"/>
    </row>
    <row r="50" spans="1:143" ht="25.5">
      <c r="A50" s="218" t="s">
        <v>97</v>
      </c>
      <c r="O50" s="79"/>
      <c r="P50" s="79"/>
      <c r="Q50" s="79"/>
      <c r="R50" s="79"/>
      <c r="S50" s="79"/>
      <c r="BD50" s="73"/>
      <c r="BE50" s="73"/>
      <c r="BF50" s="73"/>
      <c r="BG50" s="73"/>
      <c r="BH50" s="73"/>
      <c r="BI50" s="73"/>
      <c r="BJ50" s="73"/>
      <c r="BK50" s="73"/>
      <c r="CB50" s="58"/>
      <c r="CC50" s="58"/>
      <c r="CD50" s="58"/>
      <c r="CE50" s="162"/>
      <c r="CF50" s="79"/>
      <c r="CG50" s="79"/>
      <c r="CO50" s="58"/>
      <c r="CP50" s="58"/>
      <c r="CQ50" s="58"/>
      <c r="CR50" s="162"/>
      <c r="CS50" s="79"/>
      <c r="CT50" s="79"/>
    </row>
    <row r="51" spans="1:143" ht="12.75" customHeight="1">
      <c r="A51" s="310" t="s">
        <v>13</v>
      </c>
      <c r="B51" s="310"/>
      <c r="C51" s="310"/>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310"/>
      <c r="CL51" s="310"/>
      <c r="CM51" s="310"/>
      <c r="CN51" s="310"/>
      <c r="CO51" s="310"/>
      <c r="CP51" s="310"/>
      <c r="CQ51" s="310"/>
      <c r="CR51" s="310"/>
      <c r="CS51" s="310"/>
      <c r="CT51" s="310"/>
      <c r="CU51" s="310"/>
      <c r="CV51" s="310"/>
      <c r="CW51" s="310"/>
      <c r="CX51" s="310"/>
      <c r="CY51" s="310"/>
      <c r="CZ51" s="310"/>
      <c r="DA51" s="310"/>
      <c r="DB51" s="310"/>
      <c r="DC51" s="310"/>
      <c r="DD51" s="310"/>
      <c r="DE51" s="310"/>
      <c r="DF51" s="310"/>
      <c r="DG51" s="310"/>
      <c r="DH51" s="310"/>
      <c r="DI51" s="310"/>
      <c r="DJ51" s="310"/>
      <c r="DK51" s="310"/>
      <c r="DL51" s="310"/>
      <c r="DM51" s="310"/>
      <c r="DN51" s="310"/>
      <c r="DO51" s="310"/>
      <c r="DP51" s="310"/>
      <c r="DQ51" s="310"/>
      <c r="DR51" s="310"/>
      <c r="DS51" s="310"/>
      <c r="DT51" s="310"/>
      <c r="DU51" s="310"/>
      <c r="DV51" s="310"/>
      <c r="DW51" s="310"/>
      <c r="DX51" s="310"/>
      <c r="DY51" s="310"/>
      <c r="DZ51" s="310"/>
      <c r="EA51" s="310"/>
      <c r="EB51" s="310"/>
      <c r="EC51" s="310"/>
      <c r="ED51" s="310"/>
      <c r="EE51" s="310"/>
      <c r="EF51" s="310"/>
      <c r="EG51" s="310"/>
      <c r="EH51" s="310"/>
    </row>
    <row r="52" spans="1:143" ht="30" customHeight="1">
      <c r="A52" s="310" t="s">
        <v>124</v>
      </c>
      <c r="B52" s="310"/>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310"/>
      <c r="CL52" s="310"/>
      <c r="CM52" s="310"/>
      <c r="CN52" s="310"/>
      <c r="CO52" s="310"/>
      <c r="CP52" s="310"/>
      <c r="CQ52" s="310"/>
      <c r="CR52" s="310"/>
      <c r="CS52" s="310"/>
      <c r="CT52" s="310"/>
      <c r="CU52" s="310"/>
      <c r="CV52" s="310"/>
      <c r="CW52" s="310"/>
      <c r="CX52" s="310"/>
      <c r="CY52" s="310"/>
      <c r="CZ52" s="310"/>
      <c r="DA52" s="310"/>
      <c r="DB52" s="310"/>
      <c r="DC52" s="310"/>
      <c r="DD52" s="310"/>
      <c r="DE52" s="310"/>
      <c r="DF52" s="310"/>
      <c r="DG52" s="310"/>
      <c r="DH52" s="310"/>
      <c r="DI52" s="310"/>
      <c r="DJ52" s="310"/>
      <c r="DK52" s="310"/>
      <c r="DL52" s="310"/>
      <c r="DM52" s="310"/>
      <c r="DN52" s="310"/>
      <c r="DO52" s="310"/>
      <c r="DP52" s="310"/>
      <c r="DQ52" s="310"/>
      <c r="DR52" s="310"/>
      <c r="DS52" s="310"/>
      <c r="DT52" s="310"/>
      <c r="DU52" s="310"/>
      <c r="DV52" s="310"/>
      <c r="DW52" s="310"/>
      <c r="DX52" s="310"/>
      <c r="DY52" s="310"/>
      <c r="DZ52" s="310"/>
      <c r="EA52" s="310"/>
      <c r="EB52" s="310"/>
      <c r="EC52" s="310"/>
      <c r="ED52" s="310"/>
      <c r="EE52" s="310"/>
      <c r="EF52" s="310"/>
      <c r="EG52" s="310"/>
      <c r="EH52" s="310"/>
    </row>
    <row r="53" spans="1:143" ht="20.45" customHeight="1">
      <c r="A53" s="310" t="s">
        <v>119</v>
      </c>
      <c r="B53" s="310"/>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0"/>
      <c r="AY53" s="310"/>
      <c r="AZ53" s="310"/>
      <c r="BA53" s="310"/>
      <c r="BB53" s="310"/>
      <c r="BC53" s="310"/>
      <c r="BD53" s="310"/>
      <c r="BE53" s="310"/>
      <c r="BF53" s="310"/>
      <c r="BG53" s="310"/>
      <c r="BH53" s="310"/>
      <c r="BI53" s="310"/>
      <c r="BJ53" s="310"/>
      <c r="BK53" s="310"/>
      <c r="BL53" s="310"/>
      <c r="BM53" s="310"/>
      <c r="BN53" s="310"/>
      <c r="BO53" s="310"/>
      <c r="BP53" s="310"/>
      <c r="BQ53" s="310"/>
      <c r="BR53" s="310"/>
      <c r="BS53" s="310"/>
      <c r="BT53" s="310"/>
      <c r="BU53" s="310"/>
      <c r="BV53" s="310"/>
      <c r="BW53" s="310"/>
      <c r="BX53" s="310"/>
      <c r="BY53" s="310"/>
      <c r="BZ53" s="310"/>
      <c r="CA53" s="310"/>
      <c r="CB53" s="310"/>
      <c r="CC53" s="310"/>
      <c r="CD53" s="310"/>
      <c r="CE53" s="310"/>
      <c r="CF53" s="310"/>
      <c r="CG53" s="310"/>
      <c r="CH53" s="310"/>
      <c r="CI53" s="310"/>
      <c r="CJ53" s="310"/>
      <c r="CK53" s="310"/>
      <c r="CL53" s="310"/>
      <c r="CM53" s="310"/>
      <c r="CN53" s="310"/>
      <c r="CO53" s="310"/>
      <c r="CP53" s="310"/>
      <c r="CQ53" s="310"/>
      <c r="CR53" s="310"/>
      <c r="CS53" s="310"/>
      <c r="CT53" s="310"/>
      <c r="CU53" s="310"/>
      <c r="CV53" s="310"/>
      <c r="CW53" s="310"/>
      <c r="CX53" s="310"/>
      <c r="CY53" s="310"/>
      <c r="CZ53" s="310"/>
      <c r="DA53" s="310"/>
      <c r="DB53" s="310"/>
      <c r="DC53" s="310"/>
      <c r="DD53" s="310"/>
      <c r="DE53" s="310"/>
      <c r="DF53" s="310"/>
      <c r="DG53" s="310"/>
      <c r="DH53" s="310"/>
      <c r="DI53" s="310"/>
      <c r="DJ53" s="310"/>
      <c r="DK53" s="310"/>
      <c r="DL53" s="310"/>
      <c r="DM53" s="310"/>
      <c r="DN53" s="310"/>
      <c r="DO53" s="310"/>
      <c r="DP53" s="310"/>
      <c r="DQ53" s="310"/>
      <c r="DR53" s="310"/>
      <c r="DS53" s="310"/>
      <c r="DT53" s="310"/>
      <c r="DU53" s="310"/>
      <c r="DV53" s="310"/>
      <c r="DW53" s="310"/>
      <c r="DX53" s="310"/>
      <c r="DY53" s="310"/>
      <c r="DZ53" s="310"/>
      <c r="EA53" s="310"/>
      <c r="EB53" s="310"/>
      <c r="EC53" s="310"/>
      <c r="ED53" s="310"/>
      <c r="EE53" s="310"/>
      <c r="EF53" s="310"/>
      <c r="EG53" s="310"/>
      <c r="EH53" s="310"/>
      <c r="EI53" s="276"/>
      <c r="EJ53" s="276"/>
      <c r="EK53" s="276"/>
      <c r="EL53" s="276"/>
      <c r="EM53" s="276"/>
    </row>
    <row r="54" spans="1:143" ht="17.25" customHeight="1">
      <c r="A54" s="310" t="s">
        <v>98</v>
      </c>
      <c r="B54" s="310"/>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10"/>
      <c r="BG54" s="310"/>
      <c r="BH54" s="310"/>
      <c r="BI54" s="310"/>
      <c r="BJ54" s="310"/>
      <c r="BK54" s="310"/>
      <c r="BL54" s="310"/>
      <c r="BM54" s="310"/>
      <c r="BN54" s="310"/>
      <c r="BO54" s="310"/>
      <c r="BP54" s="310"/>
      <c r="BQ54" s="310"/>
      <c r="BR54" s="310"/>
      <c r="BS54" s="310"/>
      <c r="BT54" s="310"/>
      <c r="BU54" s="310"/>
      <c r="BV54" s="310"/>
      <c r="BW54" s="310"/>
      <c r="BX54" s="310"/>
      <c r="BY54" s="310"/>
      <c r="BZ54" s="310"/>
      <c r="CA54" s="310"/>
      <c r="CB54" s="310"/>
      <c r="CC54" s="310"/>
      <c r="CD54" s="310"/>
      <c r="CE54" s="310"/>
      <c r="CF54" s="310"/>
      <c r="CG54" s="310"/>
      <c r="CH54" s="310"/>
      <c r="CI54" s="310"/>
      <c r="CJ54" s="310"/>
      <c r="CK54" s="310"/>
      <c r="CL54" s="310"/>
      <c r="CM54" s="310"/>
      <c r="CN54" s="310"/>
      <c r="CO54" s="310"/>
      <c r="CP54" s="310"/>
      <c r="CQ54" s="310"/>
      <c r="CR54" s="310"/>
      <c r="CS54" s="310"/>
      <c r="CT54" s="310"/>
      <c r="CU54" s="310"/>
      <c r="CV54" s="310"/>
      <c r="CW54" s="310"/>
      <c r="CX54" s="310"/>
      <c r="CY54" s="310"/>
      <c r="CZ54" s="310"/>
      <c r="DA54" s="310"/>
      <c r="DB54" s="310"/>
      <c r="DC54" s="310"/>
      <c r="DD54" s="310"/>
      <c r="DE54" s="310"/>
      <c r="DF54" s="310"/>
      <c r="DG54" s="310"/>
      <c r="DH54" s="310"/>
      <c r="DI54" s="310"/>
      <c r="DJ54" s="310"/>
      <c r="DK54" s="310"/>
      <c r="DL54" s="310"/>
      <c r="DM54" s="310"/>
      <c r="DN54" s="310"/>
      <c r="DO54" s="310"/>
      <c r="DP54" s="310"/>
      <c r="DQ54" s="310"/>
      <c r="DR54" s="310"/>
      <c r="DS54" s="310"/>
    </row>
    <row r="55" spans="1:143" ht="18" customHeight="1">
      <c r="A55" s="311" t="s">
        <v>104</v>
      </c>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c r="BV55" s="311"/>
      <c r="BW55" s="311"/>
      <c r="BX55" s="311"/>
      <c r="BY55" s="311"/>
      <c r="BZ55" s="311"/>
      <c r="CA55" s="311"/>
      <c r="CB55" s="311"/>
      <c r="CC55" s="311"/>
      <c r="CD55" s="311"/>
      <c r="CE55" s="311"/>
      <c r="CF55" s="311"/>
      <c r="CG55" s="311"/>
      <c r="CH55" s="311"/>
      <c r="CI55" s="311"/>
      <c r="CJ55" s="311"/>
      <c r="CK55" s="311"/>
      <c r="CL55" s="311"/>
      <c r="CM55" s="311"/>
      <c r="CN55" s="311"/>
      <c r="CO55" s="311"/>
      <c r="CP55" s="311"/>
      <c r="CQ55" s="311"/>
      <c r="CR55" s="311"/>
      <c r="CS55" s="311"/>
      <c r="CT55" s="311"/>
      <c r="CU55" s="311"/>
      <c r="CV55" s="311"/>
      <c r="CW55" s="311"/>
      <c r="CX55" s="311"/>
      <c r="CY55" s="311"/>
      <c r="CZ55" s="311"/>
      <c r="DA55" s="311"/>
      <c r="DB55" s="311"/>
      <c r="DC55" s="311"/>
      <c r="DD55" s="311"/>
      <c r="DE55" s="311"/>
      <c r="DF55" s="311"/>
      <c r="DG55" s="311"/>
      <c r="DH55" s="311"/>
      <c r="DI55" s="311"/>
      <c r="DJ55" s="311"/>
      <c r="DK55" s="311"/>
      <c r="DL55" s="311"/>
      <c r="DM55" s="311"/>
      <c r="DN55" s="311"/>
      <c r="DO55" s="311"/>
      <c r="DP55" s="311"/>
      <c r="DQ55" s="311"/>
      <c r="DR55" s="311"/>
      <c r="DS55" s="311"/>
    </row>
    <row r="56" spans="1:143">
      <c r="A56" s="203" t="s">
        <v>122</v>
      </c>
      <c r="AZ56" s="82"/>
      <c r="BB56" s="73"/>
      <c r="BC56" s="73"/>
      <c r="BD56" s="73"/>
      <c r="BE56" s="73"/>
      <c r="BF56" s="73"/>
      <c r="BG56" s="73"/>
      <c r="BH56" s="73"/>
      <c r="BI56" s="73"/>
      <c r="BJ56" s="73"/>
      <c r="BK56" s="73"/>
      <c r="BL56" s="73"/>
      <c r="BM56" s="73"/>
      <c r="BO56" s="73"/>
      <c r="BP56" s="73"/>
      <c r="BQ56" s="73"/>
      <c r="BR56" s="73"/>
      <c r="BS56" s="73"/>
      <c r="BT56" s="73"/>
      <c r="BU56" s="73"/>
      <c r="BV56" s="73"/>
      <c r="BW56" s="73"/>
      <c r="BX56" s="79"/>
      <c r="BY56" s="79"/>
      <c r="BZ56" s="79"/>
      <c r="CA56" s="79"/>
      <c r="CB56" s="158"/>
      <c r="CC56" s="158"/>
      <c r="CD56" s="158"/>
      <c r="CF56" s="79"/>
      <c r="CG56" s="79"/>
      <c r="CH56" s="79"/>
      <c r="CI56" s="79"/>
      <c r="CN56" s="79"/>
      <c r="CO56" s="158"/>
      <c r="CP56" s="158"/>
      <c r="CQ56" s="158"/>
      <c r="CS56" s="79"/>
      <c r="CT56" s="79"/>
      <c r="CU56" s="79"/>
      <c r="CV56" s="79"/>
    </row>
    <row r="57" spans="1:143">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V57" s="79"/>
      <c r="AW57" s="79"/>
      <c r="AX57" s="79"/>
      <c r="AY57" s="79"/>
      <c r="AZ57" s="79"/>
      <c r="BA57" s="79"/>
      <c r="BB57" s="73"/>
      <c r="BC57" s="73"/>
      <c r="BD57" s="73"/>
      <c r="BE57" s="73"/>
      <c r="BF57" s="73"/>
      <c r="BG57" s="73"/>
      <c r="BH57" s="73"/>
      <c r="BI57" s="73"/>
      <c r="BJ57" s="73"/>
      <c r="BK57" s="73"/>
      <c r="BL57" s="73"/>
      <c r="BM57" s="73"/>
      <c r="BR57" s="73"/>
      <c r="BS57" s="73"/>
      <c r="BT57" s="73"/>
      <c r="BU57" s="73"/>
      <c r="BV57" s="73"/>
      <c r="BW57" s="73"/>
      <c r="BX57" s="79"/>
      <c r="BY57" s="79"/>
      <c r="BZ57" s="79"/>
      <c r="CD57" s="158"/>
      <c r="CF57" s="79"/>
      <c r="CG57" s="79"/>
      <c r="CI57" s="79"/>
      <c r="CQ57" s="158"/>
      <c r="CS57" s="79"/>
      <c r="CT57" s="79"/>
      <c r="CV57" s="79"/>
    </row>
    <row r="58" spans="1:143">
      <c r="A58" s="277"/>
      <c r="B58" s="82"/>
      <c r="C58" s="82"/>
      <c r="D58" s="82"/>
      <c r="E58" s="82"/>
      <c r="F58" s="82"/>
      <c r="G58" s="82"/>
      <c r="H58" s="82"/>
      <c r="I58" s="82"/>
      <c r="J58" s="82"/>
      <c r="K58" s="82"/>
      <c r="L58" s="82"/>
      <c r="M58" s="82"/>
      <c r="N58" s="82"/>
      <c r="O58" s="82"/>
      <c r="P58" s="82"/>
      <c r="Q58" s="82"/>
      <c r="R58" s="82"/>
      <c r="S58" s="82"/>
      <c r="T58" s="82"/>
      <c r="U58" s="82"/>
      <c r="V58" s="82"/>
      <c r="W58" s="82"/>
      <c r="AB58" s="82"/>
      <c r="AC58" s="82"/>
      <c r="AD58" s="82"/>
      <c r="AE58" s="82"/>
      <c r="AF58" s="82"/>
      <c r="AG58" s="82"/>
      <c r="AH58" s="82"/>
      <c r="AI58" s="82"/>
      <c r="AJ58" s="82"/>
      <c r="AO58" s="82"/>
      <c r="AP58" s="82"/>
      <c r="AQ58" s="82"/>
      <c r="AR58" s="82"/>
      <c r="AS58" s="82"/>
      <c r="AT58" s="82"/>
      <c r="AU58" s="82"/>
      <c r="AV58" s="79"/>
      <c r="AW58" s="79"/>
      <c r="AX58" s="79"/>
      <c r="AY58" s="79"/>
      <c r="AZ58" s="79"/>
      <c r="BA58" s="79"/>
      <c r="BB58" s="79"/>
      <c r="BC58" s="79"/>
      <c r="BD58" s="79"/>
      <c r="BE58" s="79"/>
      <c r="BF58" s="73"/>
      <c r="BG58" s="73"/>
      <c r="BH58" s="73"/>
      <c r="BI58" s="73"/>
      <c r="BJ58" s="73"/>
      <c r="BK58" s="73"/>
      <c r="BO58" s="73"/>
      <c r="BP58" s="73"/>
      <c r="BQ58" s="73"/>
      <c r="BR58" s="73"/>
      <c r="BS58" s="73"/>
      <c r="BT58" s="73"/>
      <c r="BU58" s="73"/>
      <c r="BV58" s="73"/>
      <c r="BW58" s="73"/>
      <c r="BX58" s="79"/>
      <c r="BY58" s="79"/>
      <c r="BZ58" s="79"/>
      <c r="CA58" s="79"/>
      <c r="CB58" s="160"/>
      <c r="CC58" s="160"/>
      <c r="CD58" s="158"/>
      <c r="CG58" s="79"/>
      <c r="CH58" s="79"/>
      <c r="CI58" s="79"/>
      <c r="CJ58" s="79"/>
      <c r="CN58" s="79"/>
      <c r="CO58" s="160"/>
      <c r="CP58" s="160"/>
      <c r="CQ58" s="158"/>
      <c r="CT58" s="79"/>
      <c r="CU58" s="79"/>
      <c r="CV58" s="79"/>
      <c r="CW58" s="79"/>
    </row>
    <row r="59" spans="1:143">
      <c r="B59" s="82"/>
      <c r="C59" s="82"/>
      <c r="D59" s="82"/>
      <c r="E59" s="82"/>
      <c r="F59" s="82"/>
      <c r="G59" s="82"/>
      <c r="H59" s="82"/>
      <c r="I59" s="82"/>
      <c r="J59" s="82"/>
      <c r="K59" s="82"/>
      <c r="L59" s="82"/>
      <c r="M59" s="82"/>
      <c r="N59" s="82"/>
      <c r="O59" s="82"/>
      <c r="P59" s="82"/>
      <c r="Q59" s="82"/>
      <c r="R59" s="82"/>
      <c r="S59" s="82"/>
      <c r="T59" s="82"/>
      <c r="U59" s="82"/>
      <c r="V59" s="82"/>
      <c r="W59" s="82"/>
      <c r="AV59" s="79"/>
      <c r="AW59" s="79"/>
      <c r="AX59" s="79"/>
      <c r="AY59" s="79"/>
      <c r="AZ59" s="79"/>
      <c r="BA59" s="79"/>
      <c r="BD59" s="73"/>
      <c r="BE59" s="73"/>
      <c r="BF59" s="73"/>
      <c r="BG59" s="73"/>
      <c r="BH59" s="73"/>
      <c r="BJ59" s="73"/>
      <c r="BK59" s="73"/>
      <c r="BO59" s="73"/>
      <c r="BP59" s="73"/>
      <c r="BQ59" s="73"/>
      <c r="BR59" s="73"/>
      <c r="BS59" s="73"/>
      <c r="BT59" s="73"/>
      <c r="BU59" s="73"/>
      <c r="BV59" s="73"/>
      <c r="BW59" s="73"/>
      <c r="BX59" s="79"/>
      <c r="BY59" s="79"/>
      <c r="BZ59" s="79"/>
      <c r="CA59" s="79"/>
      <c r="CB59" s="160"/>
      <c r="CC59" s="160"/>
      <c r="CD59" s="158"/>
      <c r="CE59" s="163"/>
      <c r="CF59" s="163"/>
      <c r="CG59" s="79"/>
      <c r="CH59" s="79"/>
      <c r="CI59" s="79"/>
      <c r="CJ59" s="79"/>
      <c r="CN59" s="79"/>
      <c r="CO59" s="160"/>
      <c r="CP59" s="160"/>
      <c r="CQ59" s="158"/>
      <c r="CR59" s="163"/>
      <c r="CS59" s="163"/>
      <c r="CT59" s="79"/>
      <c r="CU59" s="79"/>
      <c r="CV59" s="79"/>
      <c r="CW59" s="79"/>
      <c r="DB59" s="84"/>
      <c r="DC59" s="84"/>
      <c r="DD59" s="84"/>
      <c r="DE59" s="84"/>
      <c r="DF59" s="84"/>
      <c r="DG59" s="84"/>
      <c r="DH59" s="84"/>
      <c r="DI59" s="84"/>
      <c r="DJ59" s="84"/>
      <c r="DK59" s="84"/>
      <c r="DL59" s="84"/>
      <c r="DM59" s="84"/>
      <c r="DN59" s="84"/>
      <c r="DO59" s="84"/>
      <c r="DP59" s="84"/>
      <c r="DQ59" s="84"/>
      <c r="EB59" s="84"/>
      <c r="EC59" s="84"/>
      <c r="ED59" s="84"/>
    </row>
    <row r="60" spans="1:143">
      <c r="B60" s="82"/>
      <c r="C60" s="82"/>
      <c r="D60" s="82"/>
      <c r="E60" s="82"/>
      <c r="F60" s="82"/>
      <c r="G60" s="82"/>
      <c r="H60" s="82"/>
      <c r="I60" s="82"/>
      <c r="J60" s="82"/>
      <c r="K60" s="82"/>
      <c r="L60" s="82"/>
      <c r="M60" s="82"/>
      <c r="N60" s="82"/>
      <c r="O60" s="82"/>
      <c r="P60" s="82"/>
      <c r="Q60" s="82"/>
      <c r="R60" s="82"/>
      <c r="S60" s="82"/>
      <c r="T60" s="82"/>
      <c r="U60" s="82"/>
      <c r="V60" s="82"/>
      <c r="W60" s="82"/>
      <c r="AB60" s="73"/>
      <c r="AC60" s="73"/>
      <c r="AD60" s="73"/>
      <c r="AE60" s="73"/>
      <c r="AF60" s="73"/>
      <c r="AG60" s="73"/>
      <c r="AH60" s="73"/>
      <c r="AV60" s="79"/>
      <c r="AW60" s="79"/>
      <c r="AX60" s="79"/>
      <c r="AY60" s="79"/>
      <c r="AZ60" s="79"/>
      <c r="BA60" s="79"/>
      <c r="BB60" s="73"/>
      <c r="BC60" s="73"/>
      <c r="BD60" s="73"/>
      <c r="BE60" s="73"/>
      <c r="BF60" s="73"/>
      <c r="BG60" s="73"/>
      <c r="BH60" s="73"/>
      <c r="BI60" s="73"/>
      <c r="BJ60" s="73"/>
      <c r="BK60" s="73"/>
      <c r="BL60" s="73"/>
      <c r="BM60" s="73"/>
      <c r="BO60" s="73"/>
      <c r="BP60" s="73"/>
      <c r="BQ60" s="73"/>
      <c r="BR60" s="73"/>
      <c r="BS60" s="73"/>
      <c r="BT60" s="73"/>
      <c r="BU60" s="73"/>
      <c r="BV60" s="73"/>
      <c r="BW60" s="73"/>
      <c r="BX60" s="79"/>
      <c r="BY60" s="79"/>
      <c r="BZ60" s="79"/>
      <c r="CA60" s="79"/>
      <c r="CB60" s="158"/>
      <c r="CC60" s="158"/>
      <c r="CD60" s="158"/>
      <c r="CE60" s="163"/>
      <c r="CF60" s="163"/>
      <c r="CG60" s="79"/>
      <c r="CH60" s="79"/>
      <c r="CI60" s="79"/>
      <c r="CJ60" s="79"/>
      <c r="CN60" s="79"/>
      <c r="CO60" s="158"/>
      <c r="CP60" s="158"/>
      <c r="CQ60" s="158"/>
      <c r="CR60" s="163"/>
      <c r="CS60" s="163"/>
      <c r="CT60" s="79"/>
      <c r="CU60" s="79"/>
      <c r="CV60" s="79"/>
      <c r="CW60" s="79"/>
      <c r="DB60" s="84"/>
      <c r="DC60" s="84"/>
      <c r="DD60" s="84"/>
      <c r="DE60" s="84"/>
      <c r="DF60" s="84"/>
      <c r="DG60" s="84"/>
      <c r="DH60" s="84"/>
      <c r="DI60" s="84"/>
      <c r="DJ60" s="84"/>
      <c r="DK60" s="84"/>
      <c r="DL60" s="84"/>
      <c r="DM60" s="84"/>
      <c r="DN60" s="84"/>
      <c r="DO60" s="84"/>
      <c r="DP60" s="84"/>
      <c r="DQ60" s="84"/>
      <c r="EB60" s="84"/>
      <c r="EC60" s="84"/>
      <c r="ED60" s="84"/>
    </row>
    <row r="61" spans="1:143">
      <c r="B61" s="82"/>
      <c r="C61" s="82"/>
      <c r="D61" s="82"/>
      <c r="E61" s="82"/>
      <c r="F61" s="82"/>
      <c r="G61" s="82"/>
      <c r="H61" s="82"/>
      <c r="I61" s="82"/>
      <c r="J61" s="82"/>
      <c r="K61" s="82"/>
      <c r="L61" s="82"/>
      <c r="M61" s="82"/>
      <c r="N61" s="82"/>
      <c r="O61" s="82"/>
      <c r="P61" s="82"/>
      <c r="Q61" s="82"/>
      <c r="R61" s="82"/>
      <c r="S61" s="82"/>
      <c r="T61" s="82"/>
      <c r="U61" s="82"/>
      <c r="V61" s="82"/>
      <c r="W61" s="82"/>
      <c r="AO61" s="82"/>
      <c r="AP61" s="82"/>
      <c r="AQ61" s="82"/>
      <c r="AR61" s="82"/>
      <c r="AS61" s="82"/>
      <c r="AT61" s="82"/>
      <c r="AU61" s="82"/>
      <c r="AV61" s="79"/>
      <c r="AW61" s="79"/>
      <c r="AX61" s="79"/>
      <c r="AY61" s="79"/>
      <c r="AZ61" s="79"/>
      <c r="BA61" s="79"/>
      <c r="BB61" s="73"/>
      <c r="BC61" s="73"/>
      <c r="BD61" s="73"/>
      <c r="BE61" s="73"/>
      <c r="BF61" s="73"/>
      <c r="BG61" s="73"/>
      <c r="BH61" s="73"/>
      <c r="BI61" s="73"/>
      <c r="BJ61" s="73"/>
      <c r="BK61" s="73"/>
      <c r="BL61" s="73"/>
      <c r="BM61" s="73"/>
      <c r="BN61" s="73"/>
      <c r="BO61" s="73"/>
      <c r="BP61" s="73"/>
      <c r="BQ61" s="73"/>
      <c r="BR61" s="73"/>
      <c r="BS61" s="73"/>
      <c r="BT61" s="73"/>
      <c r="BU61" s="73"/>
      <c r="BV61" s="73"/>
      <c r="BW61" s="73"/>
      <c r="BX61" s="79"/>
      <c r="BY61" s="79"/>
      <c r="BZ61" s="79"/>
      <c r="CA61" s="79"/>
      <c r="CB61" s="159"/>
      <c r="CC61" s="159"/>
      <c r="CD61" s="159"/>
      <c r="CE61" s="163"/>
      <c r="CF61" s="163"/>
      <c r="CG61" s="79"/>
      <c r="CH61" s="79"/>
      <c r="CI61" s="79"/>
      <c r="CJ61" s="79"/>
      <c r="CN61" s="79"/>
      <c r="CO61" s="159"/>
      <c r="CP61" s="159"/>
      <c r="CQ61" s="159"/>
      <c r="CR61" s="163"/>
      <c r="CS61" s="163"/>
      <c r="CT61" s="79"/>
      <c r="CU61" s="79"/>
      <c r="CV61" s="79"/>
      <c r="CW61" s="79"/>
      <c r="DB61" s="84"/>
      <c r="DC61" s="84"/>
      <c r="DD61" s="84"/>
      <c r="DE61" s="84"/>
      <c r="DF61" s="84"/>
      <c r="DG61" s="84"/>
      <c r="DH61" s="84"/>
      <c r="DI61" s="84"/>
      <c r="DJ61" s="84"/>
      <c r="DK61" s="84"/>
      <c r="DL61" s="84"/>
      <c r="DM61" s="84"/>
      <c r="DN61" s="84"/>
      <c r="DO61" s="84"/>
      <c r="DP61" s="84"/>
      <c r="DQ61" s="84"/>
      <c r="EB61" s="84"/>
      <c r="EC61" s="84"/>
      <c r="ED61" s="84"/>
    </row>
    <row r="62" spans="1:143">
      <c r="BB62" s="73"/>
      <c r="BC62" s="73"/>
      <c r="BD62" s="73"/>
      <c r="BE62" s="73"/>
      <c r="BF62" s="73"/>
      <c r="BG62" s="73"/>
      <c r="BH62" s="73"/>
      <c r="BI62" s="73"/>
      <c r="BJ62" s="73"/>
      <c r="BK62" s="73"/>
      <c r="BL62" s="73"/>
      <c r="BM62" s="73"/>
      <c r="BN62" s="73"/>
      <c r="BO62" s="73"/>
      <c r="BP62" s="73"/>
      <c r="BQ62" s="73"/>
      <c r="BR62" s="73"/>
      <c r="BS62" s="73"/>
      <c r="BT62" s="73"/>
      <c r="BU62" s="73"/>
      <c r="BV62" s="73"/>
      <c r="BW62" s="73"/>
      <c r="BX62" s="79"/>
      <c r="BY62" s="79"/>
      <c r="BZ62" s="79"/>
      <c r="CA62" s="79"/>
      <c r="CE62" s="163"/>
      <c r="CF62" s="163"/>
      <c r="CG62" s="163"/>
      <c r="CI62" s="79"/>
      <c r="CJ62" s="79"/>
      <c r="CN62" s="79"/>
      <c r="CR62" s="163"/>
      <c r="CS62" s="163"/>
      <c r="CT62" s="163"/>
      <c r="CV62" s="79"/>
      <c r="CW62" s="79"/>
      <c r="DB62" s="84"/>
      <c r="DC62" s="84"/>
      <c r="DD62" s="84"/>
      <c r="DE62" s="84"/>
      <c r="DF62" s="84"/>
      <c r="DG62" s="84"/>
      <c r="DH62" s="84"/>
      <c r="DI62" s="84"/>
      <c r="DJ62" s="84"/>
      <c r="DK62" s="84"/>
      <c r="DL62" s="84"/>
      <c r="DM62" s="84"/>
      <c r="DN62" s="84"/>
      <c r="DO62" s="84"/>
      <c r="DP62" s="84"/>
      <c r="DQ62" s="84"/>
      <c r="EB62" s="84"/>
      <c r="EC62" s="84"/>
      <c r="ED62" s="84"/>
    </row>
    <row r="63" spans="1:143">
      <c r="BB63" s="73"/>
      <c r="BC63" s="73"/>
      <c r="BD63" s="73"/>
      <c r="BE63" s="73"/>
      <c r="BF63" s="73"/>
      <c r="BG63" s="73"/>
      <c r="BH63" s="73"/>
      <c r="BI63" s="73"/>
      <c r="BJ63" s="73"/>
      <c r="BK63" s="73"/>
      <c r="BL63" s="73"/>
      <c r="BM63" s="73"/>
      <c r="BN63" s="73"/>
      <c r="BO63" s="73"/>
      <c r="BP63" s="73"/>
      <c r="BQ63" s="73"/>
      <c r="BR63" s="73"/>
      <c r="BS63" s="73"/>
      <c r="BT63" s="73"/>
      <c r="BU63" s="73"/>
      <c r="BV63" s="73"/>
      <c r="BW63" s="73"/>
      <c r="BX63" s="79"/>
      <c r="BY63" s="79"/>
      <c r="BZ63" s="79"/>
      <c r="CA63" s="79"/>
      <c r="CB63" s="79"/>
      <c r="CC63" s="79"/>
      <c r="CD63" s="79"/>
      <c r="CE63" s="163"/>
      <c r="CF63" s="163"/>
      <c r="CG63" s="163"/>
      <c r="CH63" s="79"/>
      <c r="CI63" s="79"/>
      <c r="CJ63" s="79"/>
      <c r="CN63" s="79"/>
      <c r="CO63" s="79"/>
      <c r="CP63" s="79"/>
      <c r="CQ63" s="79"/>
      <c r="CR63" s="163"/>
      <c r="CS63" s="163"/>
      <c r="CT63" s="163"/>
      <c r="CU63" s="79"/>
      <c r="CV63" s="79"/>
      <c r="CW63" s="79"/>
      <c r="DB63" s="84"/>
      <c r="DC63" s="84"/>
      <c r="DD63" s="84"/>
      <c r="DE63" s="84"/>
      <c r="DF63" s="84"/>
      <c r="DG63" s="84"/>
      <c r="DH63" s="84"/>
      <c r="DI63" s="84"/>
      <c r="DJ63" s="84"/>
      <c r="DK63" s="84"/>
      <c r="DL63" s="84"/>
      <c r="DM63" s="84"/>
      <c r="DN63" s="84"/>
      <c r="DO63" s="84"/>
      <c r="DP63" s="84"/>
      <c r="DQ63" s="84"/>
      <c r="EB63" s="84"/>
      <c r="EC63" s="84"/>
      <c r="ED63" s="84"/>
    </row>
    <row r="64" spans="1:14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9"/>
      <c r="BY64" s="79"/>
      <c r="BZ64" s="79"/>
      <c r="CA64" s="79"/>
      <c r="CB64" s="79"/>
      <c r="CC64" s="79"/>
      <c r="CD64" s="79"/>
      <c r="CE64" s="164"/>
      <c r="CF64" s="164"/>
      <c r="CG64" s="164"/>
      <c r="CH64" s="79"/>
      <c r="CI64" s="79"/>
      <c r="CJ64" s="79"/>
      <c r="CN64" s="79"/>
      <c r="CO64" s="79"/>
      <c r="CP64" s="79"/>
      <c r="CQ64" s="79"/>
      <c r="CR64" s="164"/>
      <c r="CS64" s="164"/>
      <c r="CT64" s="164"/>
      <c r="CU64" s="79"/>
      <c r="CV64" s="79"/>
      <c r="CW64" s="79"/>
      <c r="DB64" s="84"/>
      <c r="DC64" s="84"/>
      <c r="DD64" s="84"/>
      <c r="DE64" s="84"/>
      <c r="DF64" s="84"/>
      <c r="DG64" s="84"/>
      <c r="DH64" s="84"/>
      <c r="DI64" s="84"/>
      <c r="DJ64" s="84"/>
      <c r="DK64" s="84"/>
      <c r="DL64" s="84"/>
      <c r="DM64" s="84"/>
      <c r="DN64" s="84"/>
      <c r="DO64" s="84"/>
      <c r="DP64" s="84"/>
      <c r="DQ64" s="84"/>
      <c r="EB64" s="84"/>
      <c r="EC64" s="84"/>
      <c r="ED64" s="84"/>
    </row>
    <row r="65" spans="28:134">
      <c r="AB65" s="82"/>
      <c r="AC65" s="82"/>
      <c r="AD65" s="82"/>
      <c r="AE65" s="82"/>
      <c r="AF65" s="82"/>
      <c r="AG65" s="82"/>
      <c r="AH65" s="82"/>
      <c r="AI65" s="82"/>
      <c r="AJ65" s="82"/>
      <c r="AK65" s="82"/>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9"/>
      <c r="BY65" s="79"/>
      <c r="BZ65" s="79"/>
      <c r="CA65" s="79"/>
      <c r="CB65" s="79"/>
      <c r="CC65" s="79"/>
      <c r="CD65" s="79"/>
      <c r="CE65" s="79"/>
      <c r="CF65" s="79"/>
      <c r="CG65" s="79"/>
      <c r="CH65" s="79"/>
      <c r="CI65" s="79"/>
      <c r="CJ65" s="79"/>
      <c r="CN65" s="79"/>
      <c r="CO65" s="79"/>
      <c r="CP65" s="79"/>
      <c r="CQ65" s="79"/>
      <c r="CR65" s="79"/>
      <c r="CS65" s="79"/>
      <c r="CT65" s="79"/>
      <c r="CU65" s="79"/>
      <c r="CV65" s="79"/>
      <c r="CW65" s="79"/>
      <c r="DB65" s="84"/>
      <c r="DC65" s="84"/>
      <c r="DD65" s="84"/>
      <c r="DE65" s="84"/>
      <c r="DF65" s="84"/>
      <c r="DG65" s="84"/>
      <c r="DH65" s="84"/>
      <c r="DI65" s="84"/>
      <c r="DJ65" s="84"/>
      <c r="DK65" s="84"/>
      <c r="DL65" s="84"/>
      <c r="DM65" s="84"/>
      <c r="DN65" s="84"/>
      <c r="DO65" s="84"/>
      <c r="DP65" s="84"/>
      <c r="DQ65" s="84"/>
      <c r="EB65" s="84"/>
      <c r="EC65" s="84"/>
      <c r="ED65" s="84"/>
    </row>
    <row r="66" spans="28:134">
      <c r="AB66" s="82"/>
      <c r="AC66" s="82"/>
      <c r="AD66" s="82"/>
      <c r="AE66" s="82"/>
      <c r="AF66" s="82"/>
      <c r="AG66" s="82"/>
      <c r="AH66" s="82"/>
      <c r="AI66" s="82"/>
      <c r="AJ66" s="82"/>
      <c r="AK66" s="82"/>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U66" s="73"/>
      <c r="BV66" s="73"/>
      <c r="BW66" s="73"/>
      <c r="BX66" s="79"/>
      <c r="BY66" s="79"/>
      <c r="BZ66" s="79"/>
      <c r="CA66" s="73"/>
      <c r="CB66" s="79"/>
      <c r="CC66" s="79"/>
      <c r="CD66" s="79"/>
      <c r="CE66" s="79"/>
      <c r="CF66" s="79"/>
      <c r="CG66" s="79"/>
      <c r="CH66" s="79"/>
      <c r="CI66" s="79"/>
      <c r="CN66" s="73"/>
      <c r="CO66" s="79"/>
      <c r="CP66" s="79"/>
      <c r="CQ66" s="79"/>
      <c r="CR66" s="79"/>
      <c r="CS66" s="79"/>
      <c r="CT66" s="79"/>
      <c r="CU66" s="79"/>
      <c r="CV66" s="79"/>
      <c r="DB66" s="84"/>
      <c r="DC66" s="84"/>
      <c r="DD66" s="84"/>
      <c r="DE66" s="84"/>
      <c r="DF66" s="84"/>
      <c r="DG66" s="84"/>
      <c r="DH66" s="84"/>
      <c r="DI66" s="84"/>
      <c r="DJ66" s="84"/>
      <c r="DK66" s="84"/>
      <c r="DL66" s="84"/>
      <c r="DM66" s="84"/>
      <c r="DN66" s="84"/>
      <c r="DO66" s="84"/>
      <c r="DP66" s="84"/>
      <c r="DQ66" s="84"/>
      <c r="EB66" s="84"/>
      <c r="EC66" s="84"/>
      <c r="ED66" s="84"/>
    </row>
    <row r="67" spans="28:134">
      <c r="AB67" s="73"/>
      <c r="AC67" s="73"/>
      <c r="AD67" s="73"/>
      <c r="AE67" s="73"/>
      <c r="AF67" s="73"/>
      <c r="AG67" s="73"/>
      <c r="AH67" s="73"/>
      <c r="AI67" s="73"/>
      <c r="AJ67" s="73"/>
      <c r="AK67" s="73"/>
      <c r="AO67" s="73"/>
      <c r="AP67" s="73"/>
      <c r="AQ67" s="73"/>
      <c r="AR67" s="73"/>
      <c r="AS67" s="73"/>
      <c r="AT67" s="73"/>
      <c r="AU67" s="73"/>
      <c r="AV67" s="73"/>
      <c r="AW67" s="73"/>
      <c r="AX67" s="73"/>
      <c r="AY67" s="73"/>
      <c r="AZ67" s="73"/>
      <c r="BA67" s="73"/>
      <c r="BB67" s="79"/>
      <c r="BC67" s="79"/>
      <c r="BD67" s="79"/>
      <c r="BE67" s="79"/>
      <c r="BF67" s="79"/>
      <c r="BG67" s="79"/>
      <c r="BH67" s="73"/>
      <c r="BI67" s="73"/>
      <c r="BJ67" s="73"/>
      <c r="BK67" s="73"/>
      <c r="BL67" s="73"/>
      <c r="BM67" s="73"/>
      <c r="BN67" s="73"/>
      <c r="BO67" s="73"/>
      <c r="BP67" s="73"/>
      <c r="BQ67" s="73"/>
      <c r="BR67" s="73"/>
      <c r="BS67" s="73"/>
      <c r="BU67" s="73"/>
      <c r="BV67" s="73"/>
      <c r="BW67" s="73"/>
      <c r="BX67" s="79"/>
      <c r="BY67" s="79"/>
      <c r="BZ67" s="79"/>
      <c r="CA67" s="73"/>
      <c r="CB67" s="79"/>
      <c r="CC67" s="79"/>
      <c r="CD67" s="79"/>
      <c r="CE67" s="79"/>
      <c r="CF67" s="79"/>
      <c r="CG67" s="79"/>
      <c r="CH67" s="79"/>
      <c r="CI67" s="79"/>
      <c r="CN67" s="73"/>
      <c r="CO67" s="79"/>
      <c r="CP67" s="79"/>
      <c r="CQ67" s="79"/>
      <c r="CR67" s="79"/>
      <c r="CS67" s="79"/>
      <c r="CT67" s="79"/>
      <c r="CU67" s="79"/>
      <c r="CV67" s="79"/>
      <c r="DB67" s="84"/>
      <c r="DC67" s="84"/>
      <c r="DD67" s="84"/>
      <c r="DE67" s="84"/>
      <c r="DF67" s="84"/>
      <c r="DG67" s="84"/>
      <c r="DH67" s="84"/>
      <c r="DI67" s="84"/>
      <c r="DJ67" s="84"/>
      <c r="DK67" s="84"/>
      <c r="DL67" s="84"/>
      <c r="DM67" s="84"/>
      <c r="DN67" s="84"/>
      <c r="DO67" s="84"/>
      <c r="DP67" s="84"/>
      <c r="DQ67" s="84"/>
      <c r="EB67" s="84"/>
      <c r="EC67" s="84"/>
      <c r="ED67" s="84"/>
    </row>
    <row r="68" spans="28:134">
      <c r="AO68" s="73"/>
      <c r="AP68" s="73"/>
      <c r="AQ68" s="73"/>
      <c r="AR68" s="73"/>
      <c r="AS68" s="73"/>
      <c r="AT68" s="73"/>
      <c r="AU68" s="73"/>
      <c r="AV68" s="73"/>
      <c r="AW68" s="73"/>
      <c r="AX68" s="73"/>
      <c r="AY68" s="73"/>
      <c r="AZ68" s="73"/>
      <c r="BA68" s="73"/>
      <c r="BB68" s="79"/>
      <c r="BC68" s="79"/>
      <c r="BD68" s="79"/>
      <c r="BE68" s="79"/>
      <c r="BF68" s="79"/>
      <c r="BG68" s="79"/>
      <c r="BH68" s="73"/>
      <c r="BI68" s="73"/>
      <c r="BJ68" s="73"/>
      <c r="BK68" s="73"/>
      <c r="BL68" s="73"/>
      <c r="BM68" s="73"/>
      <c r="BN68" s="73"/>
      <c r="BO68" s="73"/>
      <c r="BP68" s="73"/>
      <c r="BQ68" s="73"/>
      <c r="BR68" s="73"/>
      <c r="BS68" s="73"/>
      <c r="BU68" s="73"/>
      <c r="BV68" s="73"/>
      <c r="BW68" s="73"/>
      <c r="BX68" s="79"/>
      <c r="BY68" s="79"/>
      <c r="BZ68" s="79"/>
      <c r="CA68" s="73"/>
      <c r="CB68" s="79"/>
      <c r="CC68" s="79"/>
      <c r="CD68" s="79"/>
      <c r="CE68" s="79"/>
      <c r="CF68" s="79"/>
      <c r="CG68" s="79"/>
      <c r="CH68" s="79"/>
      <c r="CI68" s="79"/>
      <c r="CN68" s="73"/>
      <c r="CO68" s="79"/>
      <c r="CP68" s="79"/>
      <c r="CQ68" s="79"/>
      <c r="CR68" s="79"/>
      <c r="CS68" s="79"/>
      <c r="CT68" s="79"/>
      <c r="CU68" s="79"/>
      <c r="CV68" s="79"/>
      <c r="DB68" s="84"/>
      <c r="DC68" s="84"/>
      <c r="DD68" s="84"/>
      <c r="DE68" s="84"/>
      <c r="DF68" s="84"/>
      <c r="DG68" s="84"/>
      <c r="DH68" s="84"/>
      <c r="DI68" s="84"/>
      <c r="DJ68" s="84"/>
      <c r="DK68" s="84"/>
      <c r="DL68" s="84"/>
      <c r="DM68" s="84"/>
      <c r="DN68" s="84"/>
      <c r="DO68" s="84"/>
      <c r="DP68" s="84"/>
      <c r="DQ68" s="84"/>
      <c r="EB68" s="84"/>
      <c r="EC68" s="84"/>
      <c r="ED68" s="84"/>
    </row>
    <row r="69" spans="28:134">
      <c r="AO69" s="73"/>
      <c r="AP69" s="73"/>
      <c r="AQ69" s="73"/>
      <c r="AR69" s="73"/>
      <c r="AS69" s="73"/>
      <c r="AT69" s="73"/>
      <c r="AU69" s="73"/>
      <c r="AV69" s="73"/>
      <c r="AW69" s="73"/>
      <c r="AX69" s="73"/>
      <c r="AY69" s="73"/>
      <c r="AZ69" s="73"/>
      <c r="BA69" s="73"/>
      <c r="BB69" s="79"/>
      <c r="BC69" s="79"/>
      <c r="BD69" s="79"/>
      <c r="BE69" s="79"/>
      <c r="BF69" s="79"/>
      <c r="BG69" s="79"/>
      <c r="BH69" s="73"/>
      <c r="BI69" s="73"/>
      <c r="BJ69" s="73"/>
      <c r="BK69" s="73"/>
      <c r="BL69" s="73"/>
      <c r="BM69" s="73"/>
      <c r="BN69" s="73"/>
      <c r="BO69" s="73"/>
      <c r="BP69" s="73"/>
      <c r="BQ69" s="73"/>
      <c r="BR69" s="73"/>
      <c r="BS69" s="73"/>
      <c r="BU69" s="73"/>
      <c r="BV69" s="73"/>
      <c r="BW69" s="73"/>
      <c r="BX69" s="73"/>
      <c r="BY69" s="73"/>
      <c r="BZ69" s="73"/>
      <c r="CA69" s="73"/>
      <c r="CB69" s="79"/>
      <c r="CC69" s="79"/>
      <c r="CD69" s="79"/>
      <c r="CE69" s="79"/>
      <c r="CF69" s="79"/>
      <c r="CG69" s="79"/>
      <c r="CH69" s="79"/>
      <c r="CI69" s="79"/>
      <c r="CN69" s="73"/>
      <c r="CO69" s="79"/>
      <c r="CP69" s="79"/>
      <c r="CQ69" s="79"/>
      <c r="CR69" s="79"/>
      <c r="CS69" s="79"/>
      <c r="CT69" s="79"/>
      <c r="CU69" s="79"/>
      <c r="CV69" s="79"/>
      <c r="DB69" s="84"/>
      <c r="DC69" s="84"/>
      <c r="DD69" s="84"/>
      <c r="DE69" s="84"/>
      <c r="DF69" s="84"/>
      <c r="DG69" s="84"/>
      <c r="DH69" s="84"/>
      <c r="DI69" s="84"/>
      <c r="DJ69" s="84"/>
      <c r="DK69" s="84"/>
      <c r="DL69" s="84"/>
      <c r="DM69" s="84"/>
      <c r="DN69" s="84"/>
      <c r="DO69" s="84"/>
      <c r="DP69" s="84"/>
      <c r="DQ69" s="84"/>
      <c r="EB69" s="84"/>
      <c r="EC69" s="84"/>
      <c r="ED69" s="84"/>
    </row>
    <row r="70" spans="28:134">
      <c r="AO70" s="73"/>
      <c r="AP70" s="73"/>
      <c r="AQ70" s="73"/>
      <c r="AR70" s="73"/>
      <c r="AS70" s="73"/>
      <c r="AT70" s="73"/>
      <c r="AU70" s="73"/>
      <c r="AV70" s="73"/>
      <c r="AW70" s="73"/>
      <c r="AX70" s="73"/>
      <c r="AY70" s="73"/>
      <c r="AZ70" s="73"/>
      <c r="BA70" s="73"/>
      <c r="BB70" s="79"/>
      <c r="BC70" s="79"/>
      <c r="BD70" s="79"/>
      <c r="BE70" s="79"/>
      <c r="BF70" s="79"/>
      <c r="BG70" s="79"/>
      <c r="BH70" s="73"/>
      <c r="BI70" s="73"/>
      <c r="BJ70" s="73"/>
      <c r="BK70" s="73"/>
      <c r="BL70" s="73"/>
      <c r="BM70" s="73"/>
      <c r="BO70" s="73"/>
      <c r="BP70" s="73"/>
      <c r="BQ70" s="79"/>
      <c r="BR70" s="73"/>
      <c r="BS70" s="73"/>
      <c r="BU70" s="73"/>
      <c r="BV70" s="73"/>
      <c r="BW70" s="73"/>
      <c r="BX70" s="73"/>
      <c r="BY70" s="73"/>
      <c r="BZ70" s="73"/>
      <c r="CA70" s="73"/>
      <c r="CB70" s="79"/>
      <c r="CC70" s="79"/>
      <c r="CD70" s="79"/>
      <c r="CE70" s="79"/>
      <c r="CF70" s="79"/>
      <c r="CG70" s="79"/>
      <c r="CH70" s="79"/>
      <c r="CI70" s="79"/>
      <c r="CN70" s="73"/>
      <c r="CO70" s="79"/>
      <c r="CP70" s="79"/>
      <c r="CQ70" s="79"/>
      <c r="CR70" s="79"/>
      <c r="CS70" s="79"/>
      <c r="CT70" s="79"/>
      <c r="CU70" s="79"/>
      <c r="CV70" s="79"/>
      <c r="DB70" s="84"/>
    </row>
    <row r="71" spans="28:134">
      <c r="AO71" s="73"/>
      <c r="AP71" s="73"/>
      <c r="AQ71" s="73"/>
      <c r="AR71" s="73"/>
      <c r="AS71" s="73"/>
      <c r="AT71" s="73"/>
      <c r="AU71" s="73"/>
      <c r="AV71" s="73"/>
      <c r="AW71" s="73"/>
      <c r="AX71" s="73"/>
      <c r="AY71" s="73"/>
      <c r="AZ71" s="73"/>
      <c r="BA71" s="73"/>
      <c r="BB71" s="79"/>
      <c r="BC71" s="79"/>
      <c r="BD71" s="79"/>
      <c r="BE71" s="79"/>
      <c r="BF71" s="79"/>
      <c r="BG71" s="79"/>
      <c r="BH71" s="73"/>
      <c r="BI71" s="73"/>
      <c r="BJ71" s="73"/>
      <c r="BK71" s="73"/>
      <c r="BL71" s="73"/>
      <c r="BM71" s="73"/>
      <c r="BU71" s="73"/>
      <c r="BV71" s="73"/>
      <c r="BW71" s="73"/>
      <c r="BX71" s="73"/>
      <c r="BY71" s="73"/>
      <c r="BZ71" s="73"/>
      <c r="CA71" s="73"/>
      <c r="CB71" s="79"/>
      <c r="CC71" s="79"/>
      <c r="CD71" s="79"/>
      <c r="CE71" s="79"/>
      <c r="CF71" s="79"/>
      <c r="CG71" s="79"/>
      <c r="CH71" s="79"/>
      <c r="CI71" s="79"/>
      <c r="CN71" s="73"/>
      <c r="CO71" s="79"/>
      <c r="CP71" s="79"/>
      <c r="CQ71" s="79"/>
      <c r="CR71" s="79"/>
      <c r="CS71" s="79"/>
      <c r="CT71" s="79"/>
      <c r="CU71" s="79"/>
      <c r="CV71" s="79"/>
    </row>
    <row r="72" spans="28:134">
      <c r="AB72" s="82"/>
      <c r="AC72" s="82"/>
      <c r="AD72" s="82"/>
      <c r="AE72" s="82"/>
      <c r="AF72" s="82"/>
      <c r="AG72" s="82"/>
      <c r="AH72" s="82"/>
      <c r="AI72" s="82"/>
      <c r="AJ72" s="82"/>
      <c r="AK72" s="82"/>
      <c r="AL72" s="82"/>
      <c r="AM72" s="82"/>
      <c r="AN72" s="82"/>
      <c r="AO72" s="73"/>
      <c r="AP72" s="73"/>
      <c r="AQ72" s="73"/>
      <c r="AR72" s="73"/>
      <c r="AS72" s="73"/>
      <c r="AT72" s="73"/>
      <c r="AU72" s="73"/>
      <c r="AV72" s="73"/>
      <c r="AW72" s="73"/>
      <c r="AX72" s="73"/>
      <c r="AY72" s="73"/>
      <c r="AZ72" s="73"/>
      <c r="BA72" s="73"/>
      <c r="BB72" s="79"/>
      <c r="BC72" s="79"/>
      <c r="BD72" s="79"/>
      <c r="BE72" s="79"/>
      <c r="BF72" s="79"/>
      <c r="BG72" s="79"/>
      <c r="BH72" s="73"/>
      <c r="BI72" s="73"/>
      <c r="BJ72" s="73"/>
      <c r="BK72" s="73"/>
      <c r="BL72" s="73"/>
      <c r="BM72" s="73"/>
      <c r="BU72" s="73"/>
      <c r="BV72" s="73"/>
      <c r="BW72" s="73"/>
      <c r="BX72" s="73"/>
      <c r="BY72" s="73"/>
      <c r="BZ72" s="73"/>
      <c r="CA72" s="73"/>
      <c r="CB72" s="79"/>
      <c r="CC72" s="79"/>
      <c r="CD72" s="79"/>
      <c r="CE72" s="79"/>
      <c r="CF72" s="79"/>
      <c r="CG72" s="79"/>
      <c r="CH72" s="79"/>
      <c r="CI72" s="79"/>
      <c r="CN72" s="73"/>
      <c r="CO72" s="79"/>
      <c r="CP72" s="79"/>
      <c r="CQ72" s="79"/>
      <c r="CR72" s="79"/>
      <c r="CS72" s="79"/>
      <c r="CT72" s="79"/>
      <c r="CU72" s="79"/>
      <c r="CV72" s="79"/>
    </row>
    <row r="73" spans="28:134">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H73" s="73"/>
      <c r="BI73" s="73"/>
      <c r="BJ73" s="73"/>
      <c r="BU73" s="73"/>
      <c r="BV73" s="73"/>
      <c r="BW73" s="73"/>
      <c r="BX73" s="73"/>
      <c r="BY73" s="73"/>
      <c r="BZ73" s="73"/>
      <c r="CA73" s="73"/>
      <c r="CB73" s="79"/>
      <c r="CC73" s="79"/>
      <c r="CD73" s="79"/>
      <c r="CE73" s="79"/>
      <c r="CF73" s="79"/>
      <c r="CG73" s="79"/>
      <c r="CH73" s="79"/>
      <c r="CI73" s="79"/>
      <c r="CN73" s="73"/>
      <c r="CO73" s="79"/>
      <c r="CP73" s="79"/>
      <c r="CQ73" s="79"/>
      <c r="CR73" s="79"/>
      <c r="CS73" s="79"/>
      <c r="CT73" s="79"/>
      <c r="CU73" s="79"/>
      <c r="CV73" s="79"/>
    </row>
    <row r="74" spans="28:134">
      <c r="AB74" s="84"/>
      <c r="AC74" s="84"/>
      <c r="AD74" s="84"/>
      <c r="AE74" s="84"/>
      <c r="AF74" s="84"/>
      <c r="AG74" s="84"/>
      <c r="AH74" s="84"/>
      <c r="AI74" s="84"/>
      <c r="AJ74" s="84"/>
      <c r="AK74" s="84"/>
      <c r="AL74" s="84"/>
      <c r="AM74" s="84"/>
      <c r="AN74" s="84"/>
      <c r="AO74" s="73"/>
      <c r="AP74" s="73"/>
      <c r="AQ74" s="73"/>
      <c r="AR74" s="73"/>
      <c r="AS74" s="73"/>
      <c r="AT74" s="73"/>
      <c r="AU74" s="73"/>
      <c r="AV74" s="73"/>
      <c r="AW74" s="73"/>
      <c r="AX74" s="73"/>
      <c r="AY74" s="73"/>
      <c r="AZ74" s="73"/>
      <c r="BB74" s="73"/>
      <c r="BC74" s="73"/>
      <c r="BD74" s="73"/>
      <c r="BE74" s="73"/>
      <c r="BU74" s="73"/>
      <c r="BV74" s="73"/>
      <c r="BW74" s="73"/>
      <c r="BX74" s="73"/>
      <c r="BY74" s="73"/>
      <c r="BZ74" s="73"/>
      <c r="CA74" s="73"/>
      <c r="CN74" s="73"/>
    </row>
    <row r="75" spans="28:134">
      <c r="AB75" s="82"/>
      <c r="AC75" s="82"/>
      <c r="AD75" s="82"/>
      <c r="AE75" s="82"/>
      <c r="AF75" s="82"/>
      <c r="AG75" s="82"/>
      <c r="AH75" s="82"/>
      <c r="AI75" s="82"/>
      <c r="AJ75" s="82"/>
      <c r="AK75" s="82"/>
      <c r="AL75" s="82"/>
      <c r="AM75" s="82"/>
      <c r="AN75" s="82"/>
      <c r="AO75" s="73"/>
      <c r="AP75" s="73"/>
      <c r="AQ75" s="73"/>
      <c r="AR75" s="73"/>
      <c r="AS75" s="73"/>
      <c r="AT75" s="73"/>
      <c r="AU75" s="73"/>
      <c r="AV75" s="73"/>
      <c r="AW75" s="73"/>
      <c r="AX75" s="73"/>
      <c r="BB75" s="73"/>
      <c r="BC75" s="73"/>
      <c r="BD75" s="73"/>
      <c r="BE75" s="73"/>
      <c r="BU75" s="73"/>
      <c r="BV75" s="73"/>
      <c r="BW75" s="73"/>
      <c r="BX75" s="73"/>
      <c r="BY75" s="73"/>
      <c r="BZ75" s="73"/>
      <c r="CA75" s="73"/>
      <c r="CN75" s="73"/>
    </row>
    <row r="76" spans="28:134">
      <c r="AO76" s="73"/>
      <c r="AP76" s="73"/>
      <c r="AQ76" s="73"/>
      <c r="AR76" s="73"/>
      <c r="AS76" s="73"/>
      <c r="AT76" s="73"/>
      <c r="AU76" s="73"/>
      <c r="AV76" s="73"/>
      <c r="AW76" s="73"/>
      <c r="AX76" s="73"/>
      <c r="BB76" s="73"/>
      <c r="BC76" s="73"/>
      <c r="BD76" s="73"/>
      <c r="BE76" s="73"/>
    </row>
    <row r="77" spans="28:134">
      <c r="AO77" s="73"/>
      <c r="AP77" s="73"/>
      <c r="AQ77" s="73"/>
      <c r="AR77" s="73"/>
      <c r="AS77" s="73"/>
      <c r="AT77" s="73"/>
      <c r="AU77" s="73"/>
      <c r="AV77" s="73"/>
      <c r="AW77" s="73"/>
      <c r="AX77" s="73"/>
    </row>
    <row r="78" spans="28:134">
      <c r="AO78" s="73"/>
      <c r="AP78" s="73"/>
      <c r="AQ78" s="73"/>
      <c r="AR78" s="73"/>
      <c r="AS78" s="73"/>
      <c r="AT78" s="73"/>
      <c r="AU78" s="73"/>
      <c r="AV78" s="73"/>
      <c r="AW78" s="73"/>
      <c r="AX78" s="73"/>
      <c r="AY78" s="73"/>
      <c r="AZ78" s="73"/>
      <c r="BA78" s="73"/>
      <c r="BB78" s="73"/>
      <c r="BC78" s="73"/>
      <c r="BD78" s="73"/>
    </row>
    <row r="79" spans="28:134">
      <c r="AO79" s="73"/>
    </row>
    <row r="80" spans="28:134">
      <c r="AO80" s="73"/>
    </row>
    <row r="87" spans="2:56">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row>
    <row r="89" spans="2:56">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row>
  </sheetData>
  <mergeCells count="10">
    <mergeCell ref="A54:DS54"/>
    <mergeCell ref="A55:DS55"/>
    <mergeCell ref="A51:EH51"/>
    <mergeCell ref="A52:EH52"/>
    <mergeCell ref="A53:EH53"/>
    <mergeCell ref="A34:CO34"/>
    <mergeCell ref="A1:EM1"/>
    <mergeCell ref="A2:EM2"/>
    <mergeCell ref="A9:EM9"/>
    <mergeCell ref="A21:EM21"/>
  </mergeCells>
  <phoneticPr fontId="23" type="noConversion"/>
  <printOptions horizontalCentered="1"/>
  <pageMargins left="0.17" right="0.17" top="1" bottom="1" header="0.5" footer="0.5"/>
  <pageSetup scale="65" orientation="landscape" r:id="rId1"/>
  <headerFooter alignWithMargins="0"/>
  <rowBreaks count="1" manualBreakCount="1">
    <brk id="25" max="16383" man="1"/>
  </rowBreaks>
  <colBreaks count="1" manualBreakCount="1">
    <brk id="44" max="1048575" man="1"/>
  </colBreaks>
  <ignoredErrors>
    <ignoredError sqref="CR11 CR12:CR16 CR18:CR19"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ER132"/>
  <sheetViews>
    <sheetView showGridLines="0" tabSelected="1" zoomScaleNormal="100" zoomScaleSheetLayoutView="100" workbookViewId="0">
      <pane xSplit="1" ySplit="6" topLeftCell="DV7" activePane="bottomRight" state="frozen"/>
      <selection pane="topRight" activeCell="B1" sqref="B1"/>
      <selection pane="bottomLeft" activeCell="A6" sqref="A6"/>
      <selection pane="bottomRight" sqref="A1:EN43"/>
    </sheetView>
  </sheetViews>
  <sheetFormatPr defaultColWidth="8.83203125" defaultRowHeight="12.75" outlineLevelCol="1"/>
  <cols>
    <col min="1" max="1" width="51.6640625" customWidth="1"/>
    <col min="2" max="5" width="8.83203125" hidden="1" customWidth="1" outlineLevel="1"/>
    <col min="6" max="6" width="8" hidden="1" customWidth="1" outlineLevel="1"/>
    <col min="7" max="7" width="7" hidden="1" customWidth="1" outlineLevel="1"/>
    <col min="8" max="8" width="6.6640625" hidden="1" customWidth="1" outlineLevel="1"/>
    <col min="9" max="9" width="7.83203125" hidden="1" customWidth="1" outlineLevel="1"/>
    <col min="10" max="10" width="7.1640625" hidden="1" customWidth="1" outlineLevel="1"/>
    <col min="11" max="11" width="7.33203125" hidden="1" customWidth="1" outlineLevel="1"/>
    <col min="12" max="12" width="8.1640625" hidden="1" customWidth="1" outlineLevel="1"/>
    <col min="13" max="13" width="2.1640625" hidden="1" customWidth="1" outlineLevel="1"/>
    <col min="14" max="14" width="1.83203125" hidden="1" customWidth="1" collapsed="1"/>
    <col min="15" max="26" width="9.33203125" hidden="1" customWidth="1" outlineLevel="1"/>
    <col min="27" max="27" width="2.33203125" hidden="1" customWidth="1" collapsed="1"/>
    <col min="28" max="30" width="9.5" hidden="1" customWidth="1" outlineLevel="1"/>
    <col min="31" max="39" width="8.83203125" hidden="1" customWidth="1" outlineLevel="1"/>
    <col min="40" max="40" width="2.6640625" hidden="1" customWidth="1" collapsed="1"/>
    <col min="41" max="41" width="8.83203125" hidden="1" customWidth="1" outlineLevel="1" collapsed="1"/>
    <col min="42" max="52" width="8.83203125" hidden="1" customWidth="1" outlineLevel="1"/>
    <col min="53" max="53" width="3.6640625" hidden="1" customWidth="1" collapsed="1"/>
    <col min="54" max="65" width="8.83203125" hidden="1" customWidth="1" outlineLevel="1"/>
    <col min="66" max="66" width="2.1640625" hidden="1" customWidth="1" collapsed="1"/>
    <col min="67" max="71" width="8.83203125" hidden="1" customWidth="1"/>
    <col min="72" max="78" width="8.1640625" hidden="1" customWidth="1"/>
    <col min="79" max="79" width="2.1640625" hidden="1" customWidth="1"/>
    <col min="80" max="91" width="8.1640625" hidden="1" customWidth="1"/>
    <col min="92" max="92" width="3.6640625" hidden="1" customWidth="1"/>
    <col min="93" max="96" width="8.1640625" hidden="1" customWidth="1"/>
    <col min="97" max="104" width="8.83203125" hidden="1" customWidth="1"/>
    <col min="105" max="105" width="1.5" hidden="1" customWidth="1"/>
    <col min="106" max="117" width="8.83203125" hidden="1" customWidth="1"/>
    <col min="118" max="118" width="2.83203125" hidden="1" customWidth="1"/>
    <col min="122" max="130" width="8.83203125" customWidth="1"/>
    <col min="131" max="131" width="2.5" customWidth="1"/>
    <col min="134" max="138" width="8.83203125" customWidth="1"/>
    <col min="139" max="143" width="8.83203125" hidden="1" customWidth="1"/>
  </cols>
  <sheetData>
    <row r="1" spans="1:144" s="28" customFormat="1" ht="15.75" customHeight="1">
      <c r="A1" s="312" t="s">
        <v>68</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12"/>
      <c r="CG1" s="312"/>
      <c r="CH1" s="312"/>
      <c r="CI1" s="312"/>
      <c r="CJ1" s="312"/>
      <c r="CK1" s="312"/>
      <c r="CL1" s="312"/>
      <c r="CM1" s="312"/>
      <c r="CN1" s="312"/>
      <c r="CO1" s="312"/>
      <c r="CP1" s="312"/>
      <c r="CQ1" s="312"/>
      <c r="CR1" s="312"/>
      <c r="CS1" s="312"/>
      <c r="CT1" s="312"/>
      <c r="CU1" s="312"/>
      <c r="CV1" s="312"/>
      <c r="CW1" s="312"/>
      <c r="CX1" s="312"/>
      <c r="CY1" s="312"/>
      <c r="CZ1" s="312"/>
      <c r="DA1" s="312"/>
      <c r="DB1" s="312"/>
      <c r="DC1" s="312"/>
      <c r="DD1" s="312"/>
      <c r="DE1" s="312"/>
      <c r="DF1" s="312"/>
      <c r="DG1" s="312"/>
      <c r="DH1" s="312"/>
      <c r="DI1" s="312"/>
      <c r="DJ1" s="312"/>
      <c r="DK1" s="312"/>
      <c r="DL1" s="312"/>
      <c r="DM1" s="312"/>
      <c r="DN1" s="312"/>
      <c r="DO1" s="312"/>
      <c r="DP1" s="312"/>
      <c r="DQ1" s="312"/>
      <c r="DR1" s="312"/>
      <c r="DS1" s="312"/>
      <c r="DT1" s="312"/>
      <c r="DU1" s="312"/>
      <c r="DV1" s="312"/>
      <c r="DW1" s="312"/>
      <c r="DX1" s="312"/>
      <c r="DY1" s="312"/>
      <c r="DZ1" s="312"/>
      <c r="EA1" s="312"/>
      <c r="EB1" s="312"/>
      <c r="EC1" s="312"/>
      <c r="ED1" s="312"/>
      <c r="EE1" s="312"/>
      <c r="EF1" s="312"/>
      <c r="EG1" s="312"/>
      <c r="EH1" s="312"/>
      <c r="EI1" s="312"/>
      <c r="EJ1" s="312"/>
      <c r="EK1" s="312"/>
      <c r="EL1" s="312"/>
      <c r="EM1" s="312"/>
      <c r="EN1" s="312"/>
    </row>
    <row r="2" spans="1:144" s="28" customFormat="1" ht="15.75" customHeight="1">
      <c r="A2" s="296" t="s">
        <v>16</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296"/>
      <c r="BG2" s="296"/>
      <c r="BH2" s="296"/>
      <c r="BI2" s="296"/>
      <c r="BJ2" s="296"/>
      <c r="BK2" s="296"/>
      <c r="BL2" s="296"/>
      <c r="BM2" s="296"/>
      <c r="BN2" s="296"/>
      <c r="BO2" s="296"/>
      <c r="BP2" s="296"/>
      <c r="BQ2" s="296"/>
      <c r="BR2" s="296"/>
      <c r="BS2" s="296"/>
      <c r="BT2" s="296"/>
      <c r="BU2" s="296"/>
      <c r="BV2" s="296"/>
      <c r="BW2" s="296"/>
      <c r="BX2" s="296"/>
      <c r="BY2" s="296"/>
      <c r="BZ2" s="296"/>
      <c r="CA2" s="296"/>
      <c r="CB2" s="296"/>
      <c r="CC2" s="296"/>
      <c r="CD2" s="296"/>
      <c r="CE2" s="296"/>
      <c r="CF2" s="296"/>
      <c r="CG2" s="296"/>
      <c r="CH2" s="296"/>
      <c r="CI2" s="296"/>
      <c r="CJ2" s="296"/>
      <c r="CK2" s="296"/>
      <c r="CL2" s="296"/>
      <c r="CM2" s="296"/>
      <c r="CN2" s="296"/>
      <c r="CO2" s="296"/>
      <c r="CP2" s="296"/>
      <c r="CQ2" s="296"/>
      <c r="CR2" s="296"/>
      <c r="CS2" s="296"/>
      <c r="CT2" s="296"/>
      <c r="CU2" s="296"/>
      <c r="CV2" s="296"/>
      <c r="CW2" s="296"/>
      <c r="CX2" s="296"/>
      <c r="CY2" s="296"/>
      <c r="CZ2" s="296"/>
      <c r="DA2" s="296"/>
      <c r="DB2" s="296"/>
      <c r="DC2" s="296"/>
      <c r="DD2" s="296"/>
      <c r="DE2" s="296"/>
      <c r="DF2" s="296"/>
      <c r="DG2" s="296"/>
      <c r="DH2" s="296"/>
      <c r="DI2" s="296"/>
      <c r="DJ2" s="296"/>
      <c r="DK2" s="296"/>
      <c r="DL2" s="296"/>
      <c r="DM2" s="296"/>
      <c r="DN2" s="296"/>
      <c r="DO2" s="296"/>
      <c r="DP2" s="296"/>
      <c r="DQ2" s="296"/>
      <c r="DR2" s="296"/>
      <c r="DS2" s="296"/>
      <c r="DT2" s="296"/>
      <c r="DU2" s="296"/>
      <c r="DV2" s="296"/>
      <c r="DW2" s="296"/>
      <c r="DX2" s="296"/>
      <c r="DY2" s="296"/>
      <c r="DZ2" s="296"/>
      <c r="EA2" s="296"/>
      <c r="EB2" s="296"/>
      <c r="EC2" s="296"/>
      <c r="ED2" s="296"/>
      <c r="EE2" s="296"/>
      <c r="EF2" s="296"/>
      <c r="EG2" s="296"/>
      <c r="EH2" s="296"/>
      <c r="EI2" s="296"/>
      <c r="EJ2" s="296"/>
      <c r="EK2" s="296"/>
      <c r="EL2" s="296"/>
      <c r="EM2" s="296"/>
      <c r="EN2" s="296"/>
    </row>
    <row r="3" spans="1:144" s="3" customFormat="1" ht="6" customHeight="1">
      <c r="A3" s="27"/>
      <c r="B3" s="9"/>
      <c r="C3" s="9"/>
      <c r="D3" s="9"/>
      <c r="E3" s="9"/>
      <c r="F3" s="9"/>
      <c r="G3" s="9"/>
      <c r="H3" s="9"/>
      <c r="I3" s="9"/>
      <c r="J3" s="9"/>
      <c r="K3" s="9"/>
      <c r="L3" s="9"/>
      <c r="M3" s="9"/>
      <c r="N3" s="9"/>
    </row>
    <row r="4" spans="1:144" s="23" customFormat="1" ht="6" customHeight="1">
      <c r="A4" s="25"/>
      <c r="B4" s="20"/>
      <c r="C4" s="20"/>
      <c r="D4" s="20"/>
      <c r="E4" s="20"/>
      <c r="F4" s="20"/>
      <c r="G4" s="20"/>
      <c r="H4" s="20"/>
      <c r="I4" s="20"/>
      <c r="J4" s="20"/>
      <c r="K4" s="20"/>
      <c r="L4" s="20"/>
      <c r="M4" s="20"/>
      <c r="N4" s="20"/>
    </row>
    <row r="5" spans="1:144" s="22" customFormat="1">
      <c r="B5" s="30">
        <v>39083</v>
      </c>
      <c r="C5" s="30">
        <v>39114</v>
      </c>
      <c r="D5" s="30">
        <v>39142</v>
      </c>
      <c r="E5" s="30">
        <v>39173</v>
      </c>
      <c r="F5" s="30">
        <v>39203</v>
      </c>
      <c r="G5" s="30">
        <v>39234</v>
      </c>
      <c r="H5" s="30">
        <v>39264</v>
      </c>
      <c r="I5" s="30">
        <v>39295</v>
      </c>
      <c r="J5" s="30">
        <v>39326</v>
      </c>
      <c r="K5" s="30">
        <v>39356</v>
      </c>
      <c r="L5" s="30">
        <v>39387</v>
      </c>
      <c r="M5" s="30">
        <v>39417</v>
      </c>
      <c r="N5" s="30"/>
      <c r="O5" s="30">
        <v>39448</v>
      </c>
      <c r="P5" s="30">
        <v>39479</v>
      </c>
      <c r="Q5" s="30">
        <v>39508</v>
      </c>
      <c r="R5" s="30">
        <v>39539</v>
      </c>
      <c r="S5" s="30">
        <v>39569</v>
      </c>
      <c r="T5" s="30">
        <v>39600</v>
      </c>
      <c r="U5" s="30">
        <v>39630</v>
      </c>
      <c r="V5" s="30">
        <v>39661</v>
      </c>
      <c r="W5" s="30">
        <v>39692</v>
      </c>
      <c r="X5" s="30">
        <v>39722</v>
      </c>
      <c r="Y5" s="30">
        <v>39753</v>
      </c>
      <c r="Z5" s="30">
        <v>39783</v>
      </c>
      <c r="AA5" s="30"/>
      <c r="AB5" s="30">
        <v>39815</v>
      </c>
      <c r="AC5" s="30">
        <v>39847</v>
      </c>
      <c r="AD5" s="30">
        <v>39879</v>
      </c>
      <c r="AE5" s="30">
        <v>39911</v>
      </c>
      <c r="AF5" s="30">
        <v>39943</v>
      </c>
      <c r="AG5" s="30">
        <v>39975</v>
      </c>
      <c r="AH5" s="30">
        <v>40007</v>
      </c>
      <c r="AI5" s="30">
        <v>40039</v>
      </c>
      <c r="AJ5" s="30">
        <v>40071</v>
      </c>
      <c r="AK5" s="30">
        <v>40103</v>
      </c>
      <c r="AL5" s="30">
        <v>40135</v>
      </c>
      <c r="AM5" s="30">
        <v>40167</v>
      </c>
      <c r="AN5" s="30"/>
      <c r="AO5" s="30">
        <v>40199</v>
      </c>
      <c r="AP5" s="30">
        <v>40231</v>
      </c>
      <c r="AQ5" s="30">
        <v>40263</v>
      </c>
      <c r="AR5" s="30">
        <v>40294</v>
      </c>
      <c r="AS5" s="30">
        <v>40324</v>
      </c>
      <c r="AT5" s="30">
        <v>40355</v>
      </c>
      <c r="AU5" s="30">
        <v>40385</v>
      </c>
      <c r="AV5" s="30">
        <v>40416</v>
      </c>
      <c r="AW5" s="30">
        <v>40447</v>
      </c>
      <c r="AX5" s="30">
        <v>40478</v>
      </c>
      <c r="AY5" s="30">
        <v>40509</v>
      </c>
      <c r="AZ5" s="30">
        <v>40539</v>
      </c>
      <c r="BA5" s="30"/>
      <c r="BB5" s="30">
        <v>40570</v>
      </c>
      <c r="BC5" s="30">
        <v>40601</v>
      </c>
      <c r="BD5" s="30">
        <v>40629</v>
      </c>
      <c r="BE5" s="30">
        <v>40660</v>
      </c>
      <c r="BF5" s="30">
        <v>40690</v>
      </c>
      <c r="BG5" s="30">
        <v>40721</v>
      </c>
      <c r="BH5" s="30">
        <v>40751</v>
      </c>
      <c r="BI5" s="30">
        <v>40782</v>
      </c>
      <c r="BJ5" s="30">
        <v>40813</v>
      </c>
      <c r="BK5" s="30">
        <v>40843</v>
      </c>
      <c r="BL5" s="30">
        <v>40874</v>
      </c>
      <c r="BM5" s="30">
        <v>40904</v>
      </c>
      <c r="BN5" s="30"/>
      <c r="BO5" s="30">
        <v>40936</v>
      </c>
      <c r="BP5" s="30">
        <v>40968</v>
      </c>
      <c r="BQ5" s="30">
        <v>40999</v>
      </c>
      <c r="BR5" s="153">
        <v>41029</v>
      </c>
      <c r="BS5" s="30">
        <v>41060</v>
      </c>
      <c r="BT5" s="30">
        <v>41090</v>
      </c>
      <c r="BU5" s="30">
        <v>41121</v>
      </c>
      <c r="BV5" s="30">
        <v>41152</v>
      </c>
      <c r="BW5" s="30">
        <v>41182</v>
      </c>
      <c r="BX5" s="30">
        <v>41213</v>
      </c>
      <c r="BY5" s="30">
        <v>41243</v>
      </c>
      <c r="BZ5" s="30">
        <v>41274</v>
      </c>
      <c r="CA5" s="30"/>
      <c r="CB5" s="30">
        <v>41304</v>
      </c>
      <c r="CC5" s="30">
        <v>41333</v>
      </c>
      <c r="CD5" s="30">
        <v>41362</v>
      </c>
      <c r="CE5" s="30">
        <v>41391</v>
      </c>
      <c r="CF5" s="30">
        <v>41420</v>
      </c>
      <c r="CG5" s="30">
        <v>41449</v>
      </c>
      <c r="CH5" s="30">
        <v>41478</v>
      </c>
      <c r="CI5" s="30">
        <v>41510</v>
      </c>
      <c r="CJ5" s="30">
        <v>41542</v>
      </c>
      <c r="CK5" s="30">
        <v>41573</v>
      </c>
      <c r="CL5" s="30">
        <v>41604</v>
      </c>
      <c r="CM5" s="30">
        <v>41635</v>
      </c>
      <c r="CN5" s="30"/>
      <c r="CO5" s="30">
        <v>41669</v>
      </c>
      <c r="CP5" s="30">
        <v>41698</v>
      </c>
      <c r="CQ5" s="30">
        <v>41727</v>
      </c>
      <c r="CR5" s="30">
        <v>41756</v>
      </c>
      <c r="CS5" s="30">
        <v>41785</v>
      </c>
      <c r="CT5" s="30">
        <v>41814</v>
      </c>
      <c r="CU5" s="30">
        <v>41843</v>
      </c>
      <c r="CV5" s="30">
        <v>41875</v>
      </c>
      <c r="CW5" s="30">
        <v>41907</v>
      </c>
      <c r="CX5" s="30">
        <v>41938</v>
      </c>
      <c r="CY5" s="30">
        <v>41969</v>
      </c>
      <c r="CZ5" s="30">
        <v>42000</v>
      </c>
      <c r="DB5" s="30">
        <v>42034</v>
      </c>
      <c r="DC5" s="30">
        <v>42063</v>
      </c>
      <c r="DD5" s="30">
        <v>42092</v>
      </c>
      <c r="DE5" s="30">
        <v>42121</v>
      </c>
      <c r="DF5" s="30">
        <v>42150</v>
      </c>
      <c r="DG5" s="30">
        <v>42179</v>
      </c>
      <c r="DH5" s="30">
        <v>42208</v>
      </c>
      <c r="DI5" s="30">
        <v>42240</v>
      </c>
      <c r="DJ5" s="30">
        <v>42272</v>
      </c>
      <c r="DK5" s="30">
        <v>42303</v>
      </c>
      <c r="DL5" s="30">
        <v>42334</v>
      </c>
      <c r="DM5" s="30">
        <v>42365</v>
      </c>
      <c r="DO5" s="30">
        <v>42399</v>
      </c>
      <c r="DP5" s="30">
        <v>42428</v>
      </c>
      <c r="DQ5" s="30">
        <v>42458</v>
      </c>
      <c r="DR5" s="30">
        <v>42487</v>
      </c>
      <c r="DS5" s="30">
        <v>42516</v>
      </c>
      <c r="DT5" s="30">
        <v>42545</v>
      </c>
      <c r="DU5" s="30">
        <v>42574</v>
      </c>
      <c r="DV5" s="30">
        <v>42606</v>
      </c>
      <c r="DW5" s="30">
        <v>42638</v>
      </c>
      <c r="DX5" s="30">
        <v>42669</v>
      </c>
      <c r="DY5" s="30">
        <v>42700</v>
      </c>
      <c r="DZ5" s="30">
        <v>42731</v>
      </c>
      <c r="EB5" s="30">
        <v>42765</v>
      </c>
      <c r="EC5" s="30">
        <v>42794</v>
      </c>
      <c r="ED5" s="30">
        <v>42823</v>
      </c>
      <c r="EE5" s="30">
        <v>42852</v>
      </c>
      <c r="EF5" s="30">
        <v>42881</v>
      </c>
      <c r="EG5" s="30">
        <v>42910</v>
      </c>
      <c r="EH5" s="30">
        <v>42939</v>
      </c>
      <c r="EI5" s="30">
        <v>42971</v>
      </c>
      <c r="EJ5" s="30">
        <v>43003</v>
      </c>
      <c r="EK5" s="30">
        <v>43034</v>
      </c>
      <c r="EL5" s="30">
        <v>43065</v>
      </c>
      <c r="EM5" s="30">
        <v>43096</v>
      </c>
    </row>
    <row r="6" spans="1:144" s="3" customFormat="1" ht="6" customHeight="1">
      <c r="A6" s="26"/>
      <c r="B6" s="7"/>
      <c r="C6" s="7"/>
      <c r="D6" s="7"/>
      <c r="E6" s="7"/>
      <c r="F6" s="7"/>
      <c r="G6" s="7"/>
      <c r="H6" s="7"/>
      <c r="I6" s="7"/>
      <c r="J6" s="7"/>
    </row>
    <row r="7" spans="1:144" s="23" customFormat="1" ht="6" customHeight="1">
      <c r="A7" s="24"/>
      <c r="B7" s="21"/>
      <c r="C7" s="21"/>
      <c r="D7" s="21"/>
      <c r="E7" s="21"/>
      <c r="F7" s="21"/>
      <c r="G7" s="21"/>
      <c r="H7" s="21"/>
      <c r="I7" s="21"/>
      <c r="J7" s="21"/>
    </row>
    <row r="8" spans="1:144" s="23" customFormat="1">
      <c r="A8" s="313" t="s">
        <v>63</v>
      </c>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3"/>
      <c r="BF8" s="313"/>
      <c r="BG8" s="313"/>
      <c r="BH8" s="313"/>
      <c r="BI8" s="313"/>
      <c r="BJ8" s="313"/>
      <c r="BK8" s="313"/>
      <c r="BL8" s="313"/>
      <c r="BM8" s="313"/>
      <c r="BN8" s="313"/>
      <c r="BO8" s="313"/>
      <c r="BP8" s="313"/>
      <c r="BQ8" s="313"/>
      <c r="BR8" s="313"/>
      <c r="BS8" s="313"/>
      <c r="BT8" s="313"/>
      <c r="BU8" s="313"/>
      <c r="BV8" s="313"/>
      <c r="BW8" s="313"/>
      <c r="BX8" s="313"/>
      <c r="BY8" s="313"/>
      <c r="BZ8" s="313"/>
      <c r="CA8" s="313"/>
      <c r="CB8" s="313"/>
      <c r="CC8" s="313"/>
      <c r="CD8" s="313"/>
      <c r="CE8" s="313"/>
      <c r="CF8" s="313"/>
      <c r="CG8" s="313"/>
      <c r="CH8" s="313"/>
      <c r="CI8" s="313"/>
      <c r="CJ8" s="313"/>
      <c r="CK8" s="313"/>
      <c r="CL8" s="313"/>
      <c r="CM8" s="313"/>
      <c r="CN8" s="313"/>
      <c r="CO8" s="313"/>
      <c r="CP8" s="313"/>
      <c r="CQ8" s="313"/>
      <c r="CR8" s="313"/>
      <c r="CS8" s="313"/>
      <c r="CT8" s="313"/>
      <c r="CU8" s="313"/>
      <c r="CV8" s="313"/>
      <c r="CW8" s="313"/>
      <c r="CX8" s="313"/>
      <c r="CY8" s="313"/>
      <c r="CZ8" s="313"/>
      <c r="DA8" s="313"/>
      <c r="DB8" s="313"/>
      <c r="DC8" s="313"/>
      <c r="DD8" s="313"/>
      <c r="DE8" s="313"/>
      <c r="DF8" s="313"/>
      <c r="DG8" s="313"/>
      <c r="DH8" s="313"/>
      <c r="DI8" s="313"/>
      <c r="DJ8" s="313"/>
      <c r="DK8" s="313"/>
      <c r="DL8" s="313"/>
      <c r="DM8" s="313"/>
      <c r="DN8" s="313"/>
      <c r="DO8" s="313"/>
      <c r="DP8" s="313"/>
      <c r="DQ8" s="313"/>
      <c r="DR8" s="313"/>
      <c r="DS8" s="313"/>
      <c r="DT8" s="313"/>
      <c r="DU8" s="313"/>
      <c r="DV8" s="313"/>
      <c r="DW8" s="313"/>
      <c r="DX8" s="313"/>
      <c r="DY8" s="313"/>
      <c r="DZ8" s="313"/>
      <c r="EA8" s="313"/>
      <c r="EB8" s="313"/>
      <c r="EC8" s="313"/>
      <c r="ED8" s="313"/>
      <c r="EE8" s="313"/>
      <c r="EF8" s="313"/>
      <c r="EG8" s="313"/>
      <c r="EH8" s="313"/>
      <c r="EI8" s="313"/>
      <c r="EJ8" s="313"/>
      <c r="EK8" s="313"/>
      <c r="EL8" s="313"/>
      <c r="EM8" s="313"/>
      <c r="EN8" s="313"/>
    </row>
    <row r="9" spans="1:144" ht="3" customHeight="1">
      <c r="A9" s="10"/>
      <c r="B9" s="17"/>
      <c r="C9" s="17"/>
      <c r="D9" s="17"/>
      <c r="E9" s="17"/>
      <c r="F9" s="17"/>
      <c r="G9" s="17"/>
      <c r="H9" s="17"/>
      <c r="I9" s="17"/>
      <c r="J9" s="17"/>
      <c r="K9" s="18"/>
      <c r="L9" s="14"/>
      <c r="M9" s="14"/>
      <c r="N9" s="14"/>
    </row>
    <row r="10" spans="1:144">
      <c r="A10" t="s">
        <v>56</v>
      </c>
      <c r="B10" s="17">
        <v>-141.23539999999997</v>
      </c>
      <c r="C10" s="17">
        <v>-141.00259999999997</v>
      </c>
      <c r="D10" s="17">
        <v>-131.70360000000002</v>
      </c>
      <c r="E10" s="17">
        <v>-133.53830000000002</v>
      </c>
      <c r="F10" s="17">
        <v>-141.69319999999999</v>
      </c>
      <c r="G10" s="17">
        <v>-145.52769999999998</v>
      </c>
      <c r="H10" s="17">
        <v>-162.72960000000006</v>
      </c>
      <c r="I10" s="17">
        <v>-191.4631</v>
      </c>
      <c r="J10" s="17">
        <v>-168.29952349963787</v>
      </c>
      <c r="K10" s="17">
        <v>-216.098399999999</v>
      </c>
      <c r="L10" s="17">
        <v>-230.22469999999998</v>
      </c>
      <c r="M10" s="17">
        <v>-313.62626812176643</v>
      </c>
      <c r="N10" s="17"/>
      <c r="O10" s="17">
        <v>-214.97179999999997</v>
      </c>
      <c r="P10" s="17">
        <v>-184.50419999999997</v>
      </c>
      <c r="Q10" s="17">
        <v>-213.32400000000004</v>
      </c>
      <c r="R10" s="17">
        <v>-242.59999999999991</v>
      </c>
      <c r="S10" s="17">
        <v>-280.7000000000001</v>
      </c>
      <c r="T10" s="17">
        <v>-245.70999999999992</v>
      </c>
      <c r="U10" s="17">
        <v>-338.35910000000001</v>
      </c>
      <c r="V10" s="17">
        <v>-258.43089999999995</v>
      </c>
      <c r="W10" s="18">
        <v>-321.65890000000013</v>
      </c>
      <c r="X10" s="17">
        <v>-361.74109999999973</v>
      </c>
      <c r="Y10" s="17">
        <v>-315.35560000000009</v>
      </c>
      <c r="Z10" s="17">
        <v>-386.24440000000004</v>
      </c>
      <c r="AB10" s="17">
        <v>-189.71950000000001</v>
      </c>
      <c r="AC10" s="17">
        <v>-158.64589999999998</v>
      </c>
      <c r="AD10" s="17">
        <v>-189.7346</v>
      </c>
      <c r="AE10" s="17">
        <v>-179.8</v>
      </c>
      <c r="AF10" s="17">
        <v>-154</v>
      </c>
      <c r="AG10" s="17">
        <v>-225.39999999999989</v>
      </c>
      <c r="AH10" s="17">
        <v>-211.70130000000017</v>
      </c>
      <c r="AI10" s="17">
        <v>-233.59869999999995</v>
      </c>
      <c r="AJ10" s="17">
        <v>-228.24120000000005</v>
      </c>
      <c r="AK10" s="17">
        <v>-247.55879999999991</v>
      </c>
      <c r="AL10" s="17">
        <v>-304.4000000000002</v>
      </c>
      <c r="AM10" s="17">
        <v>-283.49999999999977</v>
      </c>
      <c r="AN10" s="17"/>
      <c r="AO10" s="17">
        <v>-205.29999999999998</v>
      </c>
      <c r="AP10" s="17">
        <v>-187.8</v>
      </c>
      <c r="AQ10" s="17">
        <v>-225.60000000000005</v>
      </c>
      <c r="AR10" s="17">
        <v>-199.59999999999985</v>
      </c>
      <c r="AS10" s="17">
        <v>-229.40000000000003</v>
      </c>
      <c r="AT10" s="17">
        <v>-233.50000000000006</v>
      </c>
      <c r="AU10" s="17">
        <v>-244.7999999999999</v>
      </c>
      <c r="AV10" s="17">
        <v>-236.39999999999998</v>
      </c>
      <c r="AW10" s="17">
        <v>-210.70000000000027</v>
      </c>
      <c r="AX10" s="17">
        <v>-234.49999999999989</v>
      </c>
      <c r="AY10" s="17">
        <v>-266.80000000000007</v>
      </c>
      <c r="AZ10" s="17">
        <v>-297.10000000000002</v>
      </c>
      <c r="BA10" s="17"/>
      <c r="BB10" s="17">
        <v>-186.10000000000002</v>
      </c>
      <c r="BC10" s="17">
        <v>-181.29999999999998</v>
      </c>
      <c r="BD10" s="17">
        <v>-241.10000000000002</v>
      </c>
      <c r="BE10" s="17">
        <v>-227.6</v>
      </c>
      <c r="BF10" s="17">
        <v>-245.39999999999998</v>
      </c>
      <c r="BG10" s="17">
        <v>-209.79999999999998</v>
      </c>
      <c r="BH10" s="17">
        <v>-197.7</v>
      </c>
      <c r="BI10" s="17">
        <v>-281.09999999999997</v>
      </c>
      <c r="BJ10" s="17">
        <v>-239.49999999999997</v>
      </c>
      <c r="BK10" s="17">
        <v>-278.29999999999995</v>
      </c>
      <c r="BL10" s="17">
        <v>-256.29999999999995</v>
      </c>
      <c r="BM10" s="17">
        <v>-277.5</v>
      </c>
      <c r="BN10" s="17"/>
      <c r="BO10" s="17">
        <v>-201.14575763999989</v>
      </c>
      <c r="BP10" s="17">
        <v>-203.98278593599997</v>
      </c>
      <c r="BQ10" s="17">
        <v>-248.09952573999988</v>
      </c>
      <c r="BR10" s="17">
        <v>-263.59796953</v>
      </c>
      <c r="BS10" s="17">
        <v>-243.29955428999986</v>
      </c>
      <c r="BT10" s="17">
        <v>-216.69392769000009</v>
      </c>
      <c r="BU10" s="17">
        <v>-200.0721151300001</v>
      </c>
      <c r="BV10" s="17">
        <v>-230.85801307999992</v>
      </c>
      <c r="BW10" s="17">
        <v>-212.10427520999997</v>
      </c>
      <c r="BX10" s="17">
        <v>-293.54675314999986</v>
      </c>
      <c r="BY10" s="17">
        <v>-275.42512262000008</v>
      </c>
      <c r="BZ10" s="17">
        <v>-292.20775636899987</v>
      </c>
      <c r="CA10" s="17"/>
      <c r="CB10" s="18">
        <v>-211.62989999999991</v>
      </c>
      <c r="CC10" s="18">
        <v>-207.08760000000004</v>
      </c>
      <c r="CD10" s="18">
        <v>-212.03309999999999</v>
      </c>
      <c r="CE10" s="18">
        <v>-241.63887499999996</v>
      </c>
      <c r="CF10" s="18">
        <v>-231.09752500000019</v>
      </c>
      <c r="CG10" s="18">
        <v>-190.24889999999991</v>
      </c>
      <c r="CH10" s="18">
        <v>-267.36050000000012</v>
      </c>
      <c r="CI10" s="18">
        <v>-212.95769999999987</v>
      </c>
      <c r="CJ10" s="18">
        <v>-240.31099999999995</v>
      </c>
      <c r="CK10" s="18">
        <v>-332.31310000000008</v>
      </c>
      <c r="CL10" s="18">
        <v>-320.39599999999996</v>
      </c>
      <c r="CM10" s="18">
        <v>-351.6867000000002</v>
      </c>
      <c r="CN10" s="18"/>
      <c r="CO10" s="18">
        <v>-197.96310000000005</v>
      </c>
      <c r="CP10" s="18">
        <v>-185.10019999999986</v>
      </c>
      <c r="CQ10" s="18">
        <v>-243.4768</v>
      </c>
      <c r="CR10" s="18">
        <v>-253.2585</v>
      </c>
      <c r="CS10" s="17">
        <v>-239.01720000000012</v>
      </c>
      <c r="CT10" s="5">
        <f>+CT11-CT12</f>
        <v>-191.78859999999997</v>
      </c>
      <c r="CU10" s="5">
        <f>+CU11-CU12</f>
        <v>-283.93079999999992</v>
      </c>
      <c r="CV10" s="5">
        <f>+CV11-CV12</f>
        <v>-230.56249999999983</v>
      </c>
      <c r="CW10" s="5">
        <f>+CW11-CW12</f>
        <v>-257.07450000000017</v>
      </c>
      <c r="CX10" s="5">
        <f t="shared" ref="CX10:EH10" si="0">+CX11-CX12</f>
        <v>-294.26069999999999</v>
      </c>
      <c r="CY10" s="5">
        <f t="shared" si="0"/>
        <v>-250.06509999999994</v>
      </c>
      <c r="CZ10" s="5">
        <f t="shared" si="0"/>
        <v>-255.8167</v>
      </c>
      <c r="DA10" s="5"/>
      <c r="DB10" s="5">
        <f t="shared" si="0"/>
        <v>-112.26490000000001</v>
      </c>
      <c r="DC10" s="5">
        <f t="shared" si="0"/>
        <v>-147.51080000000002</v>
      </c>
      <c r="DD10" s="5">
        <f t="shared" si="0"/>
        <v>-181.27269999999999</v>
      </c>
      <c r="DE10" s="5">
        <f t="shared" si="0"/>
        <v>-126.4</v>
      </c>
      <c r="DF10" s="5">
        <f t="shared" si="0"/>
        <v>-122.6</v>
      </c>
      <c r="DG10" s="5">
        <f t="shared" si="0"/>
        <v>-131.19999999999999</v>
      </c>
      <c r="DH10" s="5">
        <f t="shared" si="0"/>
        <v>-124.29999999999998</v>
      </c>
      <c r="DI10" s="5">
        <f t="shared" si="0"/>
        <v>-143.50370000000004</v>
      </c>
      <c r="DJ10" s="5">
        <f t="shared" si="0"/>
        <v>-159.38889999999981</v>
      </c>
      <c r="DK10" s="5">
        <f t="shared" si="0"/>
        <v>-187.9413000000003</v>
      </c>
      <c r="DL10" s="5">
        <f t="shared" si="0"/>
        <v>-169.15299999999974</v>
      </c>
      <c r="DM10" s="5">
        <f t="shared" si="0"/>
        <v>-143.89450000000002</v>
      </c>
      <c r="DN10" s="5"/>
      <c r="DO10" s="5">
        <f t="shared" si="0"/>
        <v>-66.999999999999986</v>
      </c>
      <c r="DP10" s="5">
        <f t="shared" si="0"/>
        <v>-99.700000000000017</v>
      </c>
      <c r="DQ10" s="5">
        <f t="shared" si="0"/>
        <v>-134.69999999999999</v>
      </c>
      <c r="DR10" s="5">
        <f t="shared" si="0"/>
        <v>-129.69999999999999</v>
      </c>
      <c r="DS10" s="5">
        <f t="shared" si="0"/>
        <v>-106.79999999999998</v>
      </c>
      <c r="DT10" s="5">
        <f t="shared" si="0"/>
        <v>-100.79999999999998</v>
      </c>
      <c r="DU10" s="5">
        <f t="shared" si="0"/>
        <v>-82.6</v>
      </c>
      <c r="DV10" s="5">
        <f t="shared" si="0"/>
        <v>-138.00000000000003</v>
      </c>
      <c r="DW10" s="5">
        <f t="shared" si="0"/>
        <v>-150.20000000000002</v>
      </c>
      <c r="DX10" s="5">
        <f t="shared" si="0"/>
        <v>-156.69999999999999</v>
      </c>
      <c r="DY10" s="5">
        <f t="shared" si="0"/>
        <v>-173.8</v>
      </c>
      <c r="DZ10" s="5">
        <f t="shared" si="0"/>
        <v>-169.7</v>
      </c>
      <c r="EA10" s="5"/>
      <c r="EB10" s="5">
        <f t="shared" si="0"/>
        <v>-99.1</v>
      </c>
      <c r="EC10" s="5">
        <f t="shared" si="0"/>
        <v>-120.30000000000001</v>
      </c>
      <c r="ED10" s="5">
        <f t="shared" si="0"/>
        <v>-142.9</v>
      </c>
      <c r="EE10" s="5">
        <f t="shared" si="0"/>
        <v>-111.80000000000001</v>
      </c>
      <c r="EF10" s="5">
        <f t="shared" si="0"/>
        <v>-209.40000000000003</v>
      </c>
      <c r="EG10" s="5">
        <f t="shared" si="0"/>
        <v>-144.79999999999998</v>
      </c>
      <c r="EH10" s="5">
        <f t="shared" si="0"/>
        <v>-149.30000000000001</v>
      </c>
    </row>
    <row r="11" spans="1:144">
      <c r="A11" s="4" t="s">
        <v>54</v>
      </c>
      <c r="B11" s="19">
        <v>59.541499999999999</v>
      </c>
      <c r="C11" s="19">
        <v>75.653100000000009</v>
      </c>
      <c r="D11" s="19">
        <v>96.0471</v>
      </c>
      <c r="E11" s="19">
        <v>91.842199999999991</v>
      </c>
      <c r="F11" s="19">
        <v>100.49630000000001</v>
      </c>
      <c r="G11" s="34">
        <v>101.3951</v>
      </c>
      <c r="H11" s="19">
        <v>104.10600000000001</v>
      </c>
      <c r="I11" s="19">
        <v>102.45819999999999</v>
      </c>
      <c r="J11" s="8">
        <v>97.24</v>
      </c>
      <c r="K11" s="19">
        <v>103.99299999999999</v>
      </c>
      <c r="L11" s="13">
        <v>122.08779999999996</v>
      </c>
      <c r="M11" s="14">
        <v>97.186831878233562</v>
      </c>
      <c r="N11" s="13"/>
      <c r="O11" s="5">
        <v>60.956000000000003</v>
      </c>
      <c r="P11" s="5">
        <v>82.338999999999984</v>
      </c>
      <c r="Q11" s="5">
        <v>91.005000000000024</v>
      </c>
      <c r="R11" s="6">
        <v>102.39999999999998</v>
      </c>
      <c r="S11" s="5">
        <v>85.199999999999989</v>
      </c>
      <c r="T11" s="5">
        <v>98.790000000000077</v>
      </c>
      <c r="U11" s="6">
        <v>114.27239999999995</v>
      </c>
      <c r="V11" s="6">
        <v>59.037599999999998</v>
      </c>
      <c r="W11" s="6">
        <v>128.03250000000003</v>
      </c>
      <c r="X11" s="6">
        <v>108.16750000000002</v>
      </c>
      <c r="Y11" s="37">
        <v>77.404999999999973</v>
      </c>
      <c r="Z11" s="6">
        <v>49.494999999999891</v>
      </c>
      <c r="AB11" s="6">
        <v>34.231699999999996</v>
      </c>
      <c r="AC11" s="6">
        <v>48.854300000000002</v>
      </c>
      <c r="AD11" s="5">
        <v>40.314000000000007</v>
      </c>
      <c r="AE11" s="5">
        <v>52.199999999999989</v>
      </c>
      <c r="AF11" s="5">
        <v>44.5</v>
      </c>
      <c r="AG11" s="5">
        <v>61.200000000000017</v>
      </c>
      <c r="AH11" s="5">
        <v>70.898699999999963</v>
      </c>
      <c r="AI11" s="5">
        <v>56.701300000000003</v>
      </c>
      <c r="AJ11" s="5">
        <v>71.854600000000005</v>
      </c>
      <c r="AK11" s="5">
        <v>70.845400000000041</v>
      </c>
      <c r="AL11" s="5">
        <v>72.399999999999977</v>
      </c>
      <c r="AM11" s="5">
        <v>73.799999999999955</v>
      </c>
      <c r="AN11" s="5"/>
      <c r="AO11" s="37">
        <v>54.6</v>
      </c>
      <c r="AP11" s="37">
        <v>68.199999999999989</v>
      </c>
      <c r="AQ11" s="37">
        <v>75.700000000000017</v>
      </c>
      <c r="AR11" s="37">
        <v>91.300000000000011</v>
      </c>
      <c r="AS11" s="37">
        <v>74.300000000000011</v>
      </c>
      <c r="AT11" s="37">
        <v>78.699999999999989</v>
      </c>
      <c r="AU11" s="37">
        <v>69.800000000000011</v>
      </c>
      <c r="AV11" s="37">
        <v>85.600000000000023</v>
      </c>
      <c r="AW11" s="37">
        <v>107.09999999999991</v>
      </c>
      <c r="AX11" s="5">
        <v>88.600000000000023</v>
      </c>
      <c r="AY11" s="5">
        <v>102.10000000000002</v>
      </c>
      <c r="AZ11" s="5">
        <v>115.39999999999998</v>
      </c>
      <c r="BA11" s="5"/>
      <c r="BB11" s="37">
        <v>71.2</v>
      </c>
      <c r="BC11" s="37">
        <v>93.6</v>
      </c>
      <c r="BD11" s="31">
        <v>97.7</v>
      </c>
      <c r="BE11" s="31">
        <v>110.9</v>
      </c>
      <c r="BF11" s="31">
        <v>114.3</v>
      </c>
      <c r="BG11" s="31">
        <v>115.6</v>
      </c>
      <c r="BH11" s="31">
        <v>106.3</v>
      </c>
      <c r="BI11" s="31">
        <v>117.3</v>
      </c>
      <c r="BJ11" s="31">
        <v>142.9</v>
      </c>
      <c r="BK11">
        <v>112.9</v>
      </c>
      <c r="BL11">
        <v>124.1</v>
      </c>
      <c r="BM11">
        <v>122.8</v>
      </c>
      <c r="BO11" s="161">
        <v>72.901104549999999</v>
      </c>
      <c r="BP11" s="161">
        <v>112.847403664</v>
      </c>
      <c r="BQ11" s="161">
        <v>113.94496832999999</v>
      </c>
      <c r="BR11" s="161">
        <v>91.991186889999994</v>
      </c>
      <c r="BS11" s="161">
        <v>122.27881031000001</v>
      </c>
      <c r="BT11" s="161">
        <v>122.83529747999998</v>
      </c>
      <c r="BU11" s="161">
        <v>117.84480166999998</v>
      </c>
      <c r="BV11" s="161">
        <v>119.36994153999997</v>
      </c>
      <c r="BW11" s="161">
        <v>110.62533698999998</v>
      </c>
      <c r="BX11" s="161">
        <v>133.68002024000006</v>
      </c>
      <c r="BY11" s="161">
        <v>125.76476606999996</v>
      </c>
      <c r="BZ11" s="161">
        <v>136.11553667100006</v>
      </c>
      <c r="CA11" s="6"/>
      <c r="CB11" s="161">
        <v>96.793499999999995</v>
      </c>
      <c r="CC11" s="161">
        <v>128.61960000000002</v>
      </c>
      <c r="CD11" s="161">
        <v>116.32249999999998</v>
      </c>
      <c r="CE11" s="161">
        <v>114.399325</v>
      </c>
      <c r="CF11" s="161">
        <v>106.12067499999999</v>
      </c>
      <c r="CG11" s="161">
        <v>138.62430000000003</v>
      </c>
      <c r="CH11" s="161">
        <v>125.636</v>
      </c>
      <c r="CI11" s="161">
        <v>126.82910000000004</v>
      </c>
      <c r="CJ11" s="161">
        <v>136.41630000000001</v>
      </c>
      <c r="CK11" s="161">
        <v>127.03469999999999</v>
      </c>
      <c r="CL11" s="161">
        <v>133.17900000000003</v>
      </c>
      <c r="CM11" s="161">
        <v>131.2058999999999</v>
      </c>
      <c r="CN11" s="161"/>
      <c r="CO11" s="161">
        <v>96.886799999999994</v>
      </c>
      <c r="CP11" s="161">
        <v>121.22950000000003</v>
      </c>
      <c r="CQ11" s="161">
        <v>129.87280000000001</v>
      </c>
      <c r="CR11" s="161">
        <v>118.5565</v>
      </c>
      <c r="CS11" s="230">
        <v>113.49759999999992</v>
      </c>
      <c r="CT11" s="230">
        <v>126.12020000000007</v>
      </c>
      <c r="CU11" s="5">
        <v>141.30740000000003</v>
      </c>
      <c r="CV11" s="5">
        <v>114.88529999999999</v>
      </c>
      <c r="CW11" s="5">
        <v>146.80159999999987</v>
      </c>
      <c r="CX11" s="232">
        <v>140.88980000000004</v>
      </c>
      <c r="CY11" s="232">
        <v>133.92329999999995</v>
      </c>
      <c r="CZ11" s="232">
        <v>135.32520000000002</v>
      </c>
      <c r="DB11" s="6">
        <v>84.5</v>
      </c>
      <c r="DC11" s="6">
        <v>98.1</v>
      </c>
      <c r="DD11" s="6">
        <v>115</v>
      </c>
      <c r="DE11" s="6">
        <v>125</v>
      </c>
      <c r="DF11" s="5">
        <v>130.1</v>
      </c>
      <c r="DG11" s="5">
        <v>159.30000000000001</v>
      </c>
      <c r="DH11" s="5">
        <v>135.6</v>
      </c>
      <c r="DI11" s="5">
        <v>120.39629999999993</v>
      </c>
      <c r="DJ11" s="5">
        <v>128.20459999999997</v>
      </c>
      <c r="DK11" s="5">
        <v>127.79760000000009</v>
      </c>
      <c r="DL11" s="5">
        <v>121.76380000000005</v>
      </c>
      <c r="DM11" s="5">
        <v>141.6765</v>
      </c>
      <c r="DN11" s="5"/>
      <c r="DO11" s="5">
        <v>89.7</v>
      </c>
      <c r="DP11" s="5">
        <v>138.19999999999999</v>
      </c>
      <c r="DQ11" s="5">
        <v>152.5</v>
      </c>
      <c r="DR11" s="232">
        <v>140.69999999999999</v>
      </c>
      <c r="DS11" s="232">
        <v>141.80000000000001</v>
      </c>
      <c r="DT11" s="232">
        <v>156.1</v>
      </c>
      <c r="DU11" s="232">
        <v>152.30000000000001</v>
      </c>
      <c r="DV11" s="232">
        <v>162.1</v>
      </c>
      <c r="DW11" s="232">
        <v>161.6</v>
      </c>
      <c r="DX11" s="232">
        <v>162.80000000000001</v>
      </c>
      <c r="DY11" s="232">
        <v>169.8</v>
      </c>
      <c r="DZ11" s="232">
        <v>155.30000000000001</v>
      </c>
      <c r="EA11" s="232"/>
      <c r="EB11" s="232">
        <v>121.4</v>
      </c>
      <c r="EC11">
        <v>152.80000000000001</v>
      </c>
      <c r="ED11" s="232">
        <v>170.1</v>
      </c>
      <c r="EE11" s="232">
        <v>166.2</v>
      </c>
      <c r="EF11" s="232">
        <v>196.2</v>
      </c>
      <c r="EG11" s="232">
        <v>186.1</v>
      </c>
      <c r="EH11" s="232">
        <v>191.2</v>
      </c>
    </row>
    <row r="12" spans="1:144">
      <c r="A12" s="4" t="s">
        <v>55</v>
      </c>
      <c r="B12" s="17">
        <v>200.77689999999998</v>
      </c>
      <c r="C12" s="17">
        <v>216.65569999999997</v>
      </c>
      <c r="D12" s="17">
        <v>227.75070000000002</v>
      </c>
      <c r="E12" s="17">
        <v>225.38050000000001</v>
      </c>
      <c r="F12" s="17">
        <v>242.18949999999998</v>
      </c>
      <c r="G12" s="33">
        <v>246.9228</v>
      </c>
      <c r="H12" s="17">
        <v>266.83560000000006</v>
      </c>
      <c r="I12" s="17">
        <v>293.92129999999997</v>
      </c>
      <c r="J12" s="36">
        <v>265.53952349963788</v>
      </c>
      <c r="K12" s="18">
        <v>320.091399999999</v>
      </c>
      <c r="L12" s="13">
        <v>352.31249999999994</v>
      </c>
      <c r="M12" s="17">
        <v>410.81310000000002</v>
      </c>
      <c r="N12" s="17"/>
      <c r="O12" s="5">
        <v>275.92779999999999</v>
      </c>
      <c r="P12" s="5">
        <v>266.84319999999997</v>
      </c>
      <c r="Q12" s="6">
        <v>304.32900000000006</v>
      </c>
      <c r="R12" s="6">
        <v>344.99999999999989</v>
      </c>
      <c r="S12" s="6">
        <v>365.90000000000009</v>
      </c>
      <c r="T12" s="6">
        <v>344.5</v>
      </c>
      <c r="U12" s="6">
        <v>452.63149999999996</v>
      </c>
      <c r="V12" s="5">
        <v>317.46849999999995</v>
      </c>
      <c r="W12" s="6">
        <v>449.69140000000016</v>
      </c>
      <c r="X12" s="6">
        <v>469.90859999999975</v>
      </c>
      <c r="Y12" s="37">
        <v>392.76060000000007</v>
      </c>
      <c r="Z12" s="6">
        <v>435.73939999999993</v>
      </c>
      <c r="AB12" s="6">
        <v>223.9512</v>
      </c>
      <c r="AC12" s="6">
        <v>207.50019999999998</v>
      </c>
      <c r="AD12" s="6">
        <v>230.04860000000002</v>
      </c>
      <c r="AE12" s="5">
        <v>232</v>
      </c>
      <c r="AF12" s="5">
        <v>198.5</v>
      </c>
      <c r="AG12" s="5">
        <v>286.59999999999991</v>
      </c>
      <c r="AH12" s="5">
        <v>282.60000000000014</v>
      </c>
      <c r="AI12" s="5">
        <v>290.29999999999995</v>
      </c>
      <c r="AJ12" s="5">
        <v>300.09580000000005</v>
      </c>
      <c r="AK12" s="5">
        <v>318.40419999999995</v>
      </c>
      <c r="AL12" s="5">
        <v>376.80000000000018</v>
      </c>
      <c r="AM12" s="5">
        <v>357.29999999999973</v>
      </c>
      <c r="AN12" s="5"/>
      <c r="AO12" s="37">
        <v>259.89999999999998</v>
      </c>
      <c r="AP12" s="37">
        <v>256</v>
      </c>
      <c r="AQ12" s="37">
        <v>301.30000000000007</v>
      </c>
      <c r="AR12" s="37">
        <v>290.89999999999986</v>
      </c>
      <c r="AS12" s="37">
        <v>303.70000000000005</v>
      </c>
      <c r="AT12" s="37">
        <v>312.20000000000005</v>
      </c>
      <c r="AU12" s="37">
        <v>314.59999999999991</v>
      </c>
      <c r="AV12" s="37">
        <v>322</v>
      </c>
      <c r="AW12" s="37">
        <v>317.80000000000018</v>
      </c>
      <c r="AX12" s="5">
        <v>323.09999999999991</v>
      </c>
      <c r="AY12" s="5">
        <v>368.90000000000009</v>
      </c>
      <c r="AZ12" s="5">
        <v>412.5</v>
      </c>
      <c r="BA12" s="5"/>
      <c r="BB12" s="37">
        <v>257.3</v>
      </c>
      <c r="BC12" s="37">
        <v>274.89999999999998</v>
      </c>
      <c r="BD12" s="31">
        <v>338.8</v>
      </c>
      <c r="BE12" s="31">
        <v>338.5</v>
      </c>
      <c r="BF12" s="31">
        <v>359.7</v>
      </c>
      <c r="BG12" s="31">
        <v>325.39999999999998</v>
      </c>
      <c r="BH12" s="37">
        <v>304</v>
      </c>
      <c r="BI12" s="31">
        <v>398.4</v>
      </c>
      <c r="BJ12" s="31">
        <v>382.4</v>
      </c>
      <c r="BK12">
        <v>391.2</v>
      </c>
      <c r="BL12">
        <v>380.4</v>
      </c>
      <c r="BM12">
        <v>400.3</v>
      </c>
      <c r="BO12" s="161">
        <v>274.0468621899999</v>
      </c>
      <c r="BP12" s="161">
        <v>316.83018959999998</v>
      </c>
      <c r="BQ12" s="161">
        <v>362.04449406999987</v>
      </c>
      <c r="BR12" s="161">
        <v>355.58915641999999</v>
      </c>
      <c r="BS12" s="161">
        <v>365.57836459999987</v>
      </c>
      <c r="BT12" s="161">
        <v>339.52922517000007</v>
      </c>
      <c r="BU12" s="161">
        <v>317.91691680000008</v>
      </c>
      <c r="BV12" s="161">
        <v>350.22795461999988</v>
      </c>
      <c r="BW12" s="161">
        <v>322.72961219999996</v>
      </c>
      <c r="BX12" s="161">
        <v>427.22677338999989</v>
      </c>
      <c r="BY12" s="161">
        <v>401.18988869000003</v>
      </c>
      <c r="BZ12" s="161">
        <v>428.32329303999995</v>
      </c>
      <c r="CA12" s="5"/>
      <c r="CB12" s="161">
        <v>308.4233999999999</v>
      </c>
      <c r="CC12" s="161">
        <v>335.70720000000006</v>
      </c>
      <c r="CD12" s="161">
        <v>328.35559999999998</v>
      </c>
      <c r="CE12" s="161">
        <v>356.03819999999996</v>
      </c>
      <c r="CF12" s="161">
        <v>337.21820000000019</v>
      </c>
      <c r="CG12" s="161">
        <v>328.87319999999994</v>
      </c>
      <c r="CH12" s="161">
        <v>392.99650000000008</v>
      </c>
      <c r="CI12" s="161">
        <v>339.78679999999991</v>
      </c>
      <c r="CJ12" s="161">
        <v>376.72729999999996</v>
      </c>
      <c r="CK12" s="161">
        <v>459.34780000000006</v>
      </c>
      <c r="CL12" s="161">
        <v>453.57499999999999</v>
      </c>
      <c r="CM12" s="161">
        <v>482.89260000000013</v>
      </c>
      <c r="CN12" s="161"/>
      <c r="CO12" s="161">
        <v>294.84990000000005</v>
      </c>
      <c r="CP12" s="161">
        <v>306.32969999999989</v>
      </c>
      <c r="CQ12" s="161">
        <v>373.34960000000001</v>
      </c>
      <c r="CR12" s="161">
        <v>371.815</v>
      </c>
      <c r="CS12" s="230">
        <v>352.51480000000004</v>
      </c>
      <c r="CT12" s="230">
        <v>317.90880000000004</v>
      </c>
      <c r="CU12" s="5">
        <v>425.23819999999995</v>
      </c>
      <c r="CV12" s="5">
        <v>345.4477999999998</v>
      </c>
      <c r="CW12" s="5">
        <v>403.87610000000006</v>
      </c>
      <c r="CX12" s="232">
        <v>435.15050000000002</v>
      </c>
      <c r="CY12" s="232">
        <v>383.9883999999999</v>
      </c>
      <c r="CZ12" s="232">
        <v>391.14190000000002</v>
      </c>
      <c r="DB12" s="6">
        <v>196.76490000000001</v>
      </c>
      <c r="DC12" s="6">
        <v>245.61080000000001</v>
      </c>
      <c r="DD12" s="6">
        <v>296.27269999999999</v>
      </c>
      <c r="DE12" s="6">
        <v>251.4</v>
      </c>
      <c r="DF12" s="5">
        <v>252.7</v>
      </c>
      <c r="DG12" s="5">
        <v>290.5</v>
      </c>
      <c r="DH12" s="5">
        <v>259.89999999999998</v>
      </c>
      <c r="DI12" s="5">
        <v>263.89999999999998</v>
      </c>
      <c r="DJ12" s="5">
        <v>287.59349999999978</v>
      </c>
      <c r="DK12" s="5">
        <v>315.7389000000004</v>
      </c>
      <c r="DL12" s="5">
        <v>290.9167999999998</v>
      </c>
      <c r="DM12" s="5">
        <v>285.57100000000003</v>
      </c>
      <c r="DN12" s="5"/>
      <c r="DO12" s="5">
        <v>156.69999999999999</v>
      </c>
      <c r="DP12" s="5">
        <v>237.9</v>
      </c>
      <c r="DQ12" s="5">
        <v>287.2</v>
      </c>
      <c r="DR12" s="232">
        <v>270.39999999999998</v>
      </c>
      <c r="DS12" s="232">
        <v>248.6</v>
      </c>
      <c r="DT12" s="232">
        <v>256.89999999999998</v>
      </c>
      <c r="DU12" s="232">
        <v>234.9</v>
      </c>
      <c r="DV12" s="232">
        <v>300.10000000000002</v>
      </c>
      <c r="DW12" s="232">
        <v>311.8</v>
      </c>
      <c r="DX12" s="232">
        <v>319.5</v>
      </c>
      <c r="DY12" s="232">
        <v>343.6</v>
      </c>
      <c r="DZ12" s="232">
        <v>325</v>
      </c>
      <c r="EA12" s="232"/>
      <c r="EB12" s="232">
        <v>220.5</v>
      </c>
      <c r="EC12" s="232">
        <v>273.10000000000002</v>
      </c>
      <c r="ED12" s="232">
        <v>313</v>
      </c>
      <c r="EE12" s="232">
        <v>278</v>
      </c>
      <c r="EF12" s="232">
        <v>405.6</v>
      </c>
      <c r="EG12" s="232">
        <v>330.9</v>
      </c>
      <c r="EH12" s="232">
        <v>340.5</v>
      </c>
    </row>
    <row r="13" spans="1:144" ht="16.5" customHeight="1">
      <c r="A13" s="210" t="s">
        <v>131</v>
      </c>
      <c r="B13" s="17"/>
      <c r="C13" s="17"/>
      <c r="D13" s="18">
        <v>-253.77068923613558</v>
      </c>
      <c r="E13" s="18"/>
      <c r="F13" s="18"/>
      <c r="G13" s="205">
        <v>-122.05556724163989</v>
      </c>
      <c r="H13" s="6"/>
      <c r="I13" s="6"/>
      <c r="J13" s="205">
        <v>-186.25928426422035</v>
      </c>
      <c r="K13" s="18"/>
      <c r="L13" s="18"/>
      <c r="M13" s="205">
        <v>-221.95696375358625</v>
      </c>
      <c r="N13" s="18"/>
      <c r="O13" s="6"/>
      <c r="P13" s="6"/>
      <c r="Q13" s="205">
        <v>-404.55866125830926</v>
      </c>
      <c r="R13" s="6"/>
      <c r="S13" s="6"/>
      <c r="T13" s="205">
        <v>-332.3424181048124</v>
      </c>
      <c r="U13" s="6"/>
      <c r="V13" s="6"/>
      <c r="W13" s="205">
        <v>-467.46532327082423</v>
      </c>
      <c r="X13" s="6"/>
      <c r="Y13" s="6"/>
      <c r="Z13" s="205">
        <v>-541.28936855523875</v>
      </c>
      <c r="AA13" s="6"/>
      <c r="AB13" s="6"/>
      <c r="AC13" s="6"/>
      <c r="AD13" s="205">
        <v>-343.26967749604569</v>
      </c>
      <c r="AE13" s="6"/>
      <c r="AF13" s="6"/>
      <c r="AG13" s="205">
        <v>-316.20934163902086</v>
      </c>
      <c r="AH13" s="6"/>
      <c r="AI13" s="6"/>
      <c r="AJ13" s="205">
        <v>-339.56708596159774</v>
      </c>
      <c r="AK13" s="6"/>
      <c r="AL13" s="6"/>
      <c r="AM13" s="205">
        <v>-521.38844133036514</v>
      </c>
      <c r="AN13" s="6"/>
      <c r="AO13" s="6"/>
      <c r="AP13" s="6"/>
      <c r="AQ13" s="205">
        <v>-404.37070397592436</v>
      </c>
      <c r="AR13" s="6"/>
      <c r="AS13" s="6"/>
      <c r="AT13" s="205">
        <v>-341.52920045086012</v>
      </c>
      <c r="AU13" s="6"/>
      <c r="AV13" s="6"/>
      <c r="AW13" s="205">
        <v>-277.70315697946512</v>
      </c>
      <c r="AX13" s="6"/>
      <c r="AY13" s="6"/>
      <c r="AZ13" s="205">
        <v>-294.5539247778479</v>
      </c>
      <c r="BA13" s="6"/>
      <c r="BB13" s="6"/>
      <c r="BC13" s="6"/>
      <c r="BD13" s="205">
        <v>-380.11601228421</v>
      </c>
      <c r="BE13" s="6"/>
      <c r="BF13" s="6"/>
      <c r="BG13" s="205">
        <v>-321.15240291597797</v>
      </c>
      <c r="BH13" s="6"/>
      <c r="BI13" s="6"/>
      <c r="BJ13" s="205">
        <v>-140.09646358147666</v>
      </c>
      <c r="BK13" s="6"/>
      <c r="BL13" s="6"/>
      <c r="BM13" s="205">
        <v>-217.5022439277559</v>
      </c>
      <c r="BN13" s="6"/>
      <c r="BO13" s="6"/>
      <c r="BP13" s="6"/>
      <c r="BQ13" s="205">
        <v>-394.67801616667703</v>
      </c>
      <c r="BR13" s="6"/>
      <c r="BS13" s="6"/>
      <c r="BT13" s="205">
        <v>-327.98684770173031</v>
      </c>
      <c r="BU13" s="6"/>
      <c r="BV13" s="6"/>
      <c r="BW13" s="205">
        <v>-80.478135947374767</v>
      </c>
      <c r="BX13" s="6"/>
      <c r="BY13" s="6"/>
      <c r="BZ13" s="205">
        <v>-254.70795328947634</v>
      </c>
      <c r="CA13" s="6"/>
      <c r="CB13" s="6"/>
      <c r="CC13" s="6"/>
      <c r="CD13" s="205">
        <v>-345.72119648139039</v>
      </c>
      <c r="CE13" s="6"/>
      <c r="CF13" s="6"/>
      <c r="CG13" s="205">
        <v>-182.42232876336357</v>
      </c>
      <c r="CH13" s="6"/>
      <c r="CI13" s="6"/>
      <c r="CJ13" s="205">
        <v>-41.747396099277466</v>
      </c>
      <c r="CK13" s="6"/>
      <c r="CL13" s="6"/>
      <c r="CM13" s="205">
        <v>-274.78415591895691</v>
      </c>
      <c r="CN13" s="6"/>
      <c r="CO13" s="6"/>
      <c r="CP13" s="6"/>
      <c r="CQ13" s="6">
        <v>-476.82944921936041</v>
      </c>
      <c r="CR13" s="6"/>
      <c r="CS13" s="135"/>
      <c r="CT13" s="6">
        <v>-166.48983177113541</v>
      </c>
      <c r="CU13" s="6"/>
      <c r="CV13" s="6"/>
      <c r="CW13" s="6">
        <v>-147.95673827058931</v>
      </c>
      <c r="CZ13" s="6">
        <v>-57.807823243267649</v>
      </c>
      <c r="DB13" s="5"/>
      <c r="DC13" s="5"/>
      <c r="DD13" s="6">
        <v>-256.2</v>
      </c>
      <c r="DE13" s="6"/>
      <c r="DF13" s="135"/>
      <c r="DG13" s="6">
        <v>19.2</v>
      </c>
      <c r="DH13" s="6"/>
      <c r="DI13" s="6"/>
      <c r="DJ13" s="6">
        <v>51.6</v>
      </c>
      <c r="DM13" s="6">
        <v>-93.8</v>
      </c>
      <c r="DQ13">
        <v>-116</v>
      </c>
      <c r="DT13">
        <v>-36.9</v>
      </c>
      <c r="DW13">
        <v>51.4</v>
      </c>
      <c r="DZ13">
        <v>-184</v>
      </c>
      <c r="ED13" s="5">
        <v>-86.229654253726949</v>
      </c>
    </row>
    <row r="14" spans="1:144" ht="14.25" customHeight="1">
      <c r="A14" s="210" t="s">
        <v>132</v>
      </c>
      <c r="B14" s="17"/>
      <c r="C14" s="17"/>
      <c r="D14" s="18">
        <v>122.51867241801311</v>
      </c>
      <c r="E14" s="18"/>
      <c r="F14" s="18"/>
      <c r="G14" s="205">
        <v>123.39852561223978</v>
      </c>
      <c r="H14" s="6"/>
      <c r="I14" s="6"/>
      <c r="J14" s="205">
        <v>147.022462568816</v>
      </c>
      <c r="K14" s="18"/>
      <c r="L14" s="18"/>
      <c r="M14" s="205">
        <v>235.55888055881314</v>
      </c>
      <c r="N14" s="18"/>
      <c r="O14" s="6"/>
      <c r="P14" s="6"/>
      <c r="Q14" s="205">
        <v>144.31048150077743</v>
      </c>
      <c r="R14" s="6"/>
      <c r="S14" s="6"/>
      <c r="T14" s="205">
        <v>153.45953777434784</v>
      </c>
      <c r="U14" s="6"/>
      <c r="V14" s="6"/>
      <c r="W14" s="205">
        <v>179.23153151601582</v>
      </c>
      <c r="X14" s="6"/>
      <c r="Y14" s="6"/>
      <c r="Z14" s="205">
        <v>212.04863153321858</v>
      </c>
      <c r="AA14" s="6"/>
      <c r="AB14" s="6"/>
      <c r="AC14" s="6"/>
      <c r="AD14" s="205">
        <v>106.38475065026063</v>
      </c>
      <c r="AE14" s="6"/>
      <c r="AF14" s="6"/>
      <c r="AG14" s="205">
        <v>108.60993227834624</v>
      </c>
      <c r="AH14" s="6"/>
      <c r="AI14" s="6"/>
      <c r="AJ14" s="205">
        <v>115.2376668568614</v>
      </c>
      <c r="AK14" s="6"/>
      <c r="AL14" s="6"/>
      <c r="AM14" s="205">
        <v>167.70669256283196</v>
      </c>
      <c r="AN14" s="6"/>
      <c r="AO14" s="6"/>
      <c r="AP14" s="6"/>
      <c r="AQ14" s="205">
        <v>114.22712667131691</v>
      </c>
      <c r="AR14" s="6"/>
      <c r="AS14" s="6"/>
      <c r="AT14" s="205">
        <v>108.1456459705542</v>
      </c>
      <c r="AU14" s="6"/>
      <c r="AV14" s="6"/>
      <c r="AW14" s="205">
        <v>122.17882546867381</v>
      </c>
      <c r="AX14" s="6"/>
      <c r="AY14" s="6"/>
      <c r="AZ14" s="205">
        <v>168.05980229146741</v>
      </c>
      <c r="BA14" s="6"/>
      <c r="BB14" s="6"/>
      <c r="BC14" s="6"/>
      <c r="BD14" s="205">
        <v>117.31545641780734</v>
      </c>
      <c r="BE14" s="6"/>
      <c r="BF14" s="6"/>
      <c r="BG14" s="205">
        <v>127.00973905845714</v>
      </c>
      <c r="BH14" s="6"/>
      <c r="BI14" s="6"/>
      <c r="BJ14" s="205">
        <v>145.73437267593732</v>
      </c>
      <c r="BK14" s="6"/>
      <c r="BL14" s="6"/>
      <c r="BM14" s="205">
        <v>194.39799069650169</v>
      </c>
      <c r="BN14" s="6"/>
      <c r="BO14" s="6"/>
      <c r="BP14" s="6"/>
      <c r="BQ14" s="205">
        <v>135.05684124018097</v>
      </c>
      <c r="BR14" s="6"/>
      <c r="BS14" s="6"/>
      <c r="BT14" s="205">
        <v>134.57575190484428</v>
      </c>
      <c r="BU14" s="6"/>
      <c r="BV14" s="6"/>
      <c r="BW14" s="205">
        <v>151.55535749383645</v>
      </c>
      <c r="BX14" s="6"/>
      <c r="BY14" s="6"/>
      <c r="BZ14" s="205">
        <v>203.53023120581094</v>
      </c>
      <c r="CA14" s="6"/>
      <c r="CB14" s="6"/>
      <c r="CC14" s="6"/>
      <c r="CD14" s="205">
        <v>144.97045794498757</v>
      </c>
      <c r="CE14" s="6"/>
      <c r="CF14" s="6"/>
      <c r="CG14" s="205">
        <v>155.18934120910757</v>
      </c>
      <c r="CH14" s="6"/>
      <c r="CI14" s="6"/>
      <c r="CJ14" s="205">
        <v>173.13980466024503</v>
      </c>
      <c r="CK14" s="6"/>
      <c r="CL14" s="6"/>
      <c r="CM14" s="205">
        <v>230.78452378290109</v>
      </c>
      <c r="CN14" s="6"/>
      <c r="CO14" s="6"/>
      <c r="CP14" s="6"/>
      <c r="CQ14" s="6">
        <v>152.50249642975064</v>
      </c>
      <c r="CR14" s="6"/>
      <c r="CS14" s="135"/>
      <c r="CT14" s="6">
        <v>160.75067001986901</v>
      </c>
      <c r="CU14" s="135"/>
      <c r="CV14" s="6"/>
      <c r="CW14" s="135">
        <v>162.18183814583253</v>
      </c>
      <c r="CX14" s="6"/>
      <c r="CZ14" s="6">
        <v>165.29575210927959</v>
      </c>
      <c r="DB14" s="5"/>
      <c r="DC14" s="5"/>
      <c r="DD14" s="6">
        <v>84.285467687595286</v>
      </c>
      <c r="DE14" s="6"/>
      <c r="DF14" s="135"/>
      <c r="DG14" s="6">
        <v>113.1</v>
      </c>
      <c r="DH14" s="6"/>
      <c r="DI14" s="6"/>
      <c r="DJ14" s="6">
        <v>98.5</v>
      </c>
      <c r="DM14" s="6">
        <v>124.8</v>
      </c>
      <c r="DQ14" s="5">
        <v>80.3</v>
      </c>
      <c r="DT14">
        <v>90.3</v>
      </c>
      <c r="DW14">
        <v>97.6</v>
      </c>
      <c r="DZ14">
        <v>123.9</v>
      </c>
      <c r="ED14" s="5">
        <v>96.456589855140152</v>
      </c>
    </row>
    <row r="15" spans="1:144">
      <c r="A15" s="210" t="s">
        <v>133</v>
      </c>
      <c r="B15" s="17"/>
      <c r="C15" s="17"/>
      <c r="D15" s="33">
        <v>108.85931354840298</v>
      </c>
      <c r="E15" s="6"/>
      <c r="F15" s="6"/>
      <c r="G15" s="205">
        <v>97.997109242578375</v>
      </c>
      <c r="H15" s="6"/>
      <c r="I15" s="6"/>
      <c r="J15" s="205">
        <v>130.23406176990255</v>
      </c>
      <c r="K15" s="6"/>
      <c r="L15" s="18"/>
      <c r="M15" s="205">
        <v>316.79401243892352</v>
      </c>
      <c r="N15" s="18"/>
      <c r="O15" s="6"/>
      <c r="P15" s="6"/>
      <c r="Q15" s="205">
        <v>116.74225188053323</v>
      </c>
      <c r="R15" s="6"/>
      <c r="S15" s="6"/>
      <c r="T15" s="205">
        <v>142.89328035053555</v>
      </c>
      <c r="U15" s="6"/>
      <c r="V15" s="35"/>
      <c r="W15" s="205">
        <v>244.96116785747864</v>
      </c>
      <c r="X15" s="35"/>
      <c r="Y15" s="6"/>
      <c r="Z15" s="205">
        <v>420.44837965296858</v>
      </c>
      <c r="AA15" s="6"/>
      <c r="AB15" s="6"/>
      <c r="AC15" s="6"/>
      <c r="AD15" s="205">
        <v>52.741349799022018</v>
      </c>
      <c r="AE15" s="6"/>
      <c r="AF15" s="6"/>
      <c r="AG15" s="205">
        <v>149.11470967685187</v>
      </c>
      <c r="AH15" s="6"/>
      <c r="AI15" s="6"/>
      <c r="AJ15" s="205">
        <v>148.76673246245403</v>
      </c>
      <c r="AK15" s="6"/>
      <c r="AL15" s="6"/>
      <c r="AM15" s="205">
        <v>359.01882761774357</v>
      </c>
      <c r="AN15" s="6"/>
      <c r="AO15" s="6"/>
      <c r="AP15" s="6"/>
      <c r="AQ15" s="205">
        <v>120.84747842921796</v>
      </c>
      <c r="AR15" s="6"/>
      <c r="AS15" s="6"/>
      <c r="AT15" s="205">
        <v>88.647127319303735</v>
      </c>
      <c r="AU15" s="6"/>
      <c r="AV15" s="6"/>
      <c r="AW15" s="205">
        <v>156.31282301163401</v>
      </c>
      <c r="AX15" s="6"/>
      <c r="AY15" s="6"/>
      <c r="AZ15" s="205">
        <v>155.56921812675526</v>
      </c>
      <c r="BA15" s="6"/>
      <c r="BB15" s="6"/>
      <c r="BC15" s="6"/>
      <c r="BD15" s="205">
        <v>152.17037939182987</v>
      </c>
      <c r="BE15" s="6"/>
      <c r="BF15" s="6"/>
      <c r="BG15" s="205">
        <v>116.54961022241545</v>
      </c>
      <c r="BH15" s="6"/>
      <c r="BI15" s="6"/>
      <c r="BJ15" s="205">
        <v>131.59868587860959</v>
      </c>
      <c r="BK15" s="6"/>
      <c r="BL15" s="6"/>
      <c r="BM15" s="205">
        <v>37.015283268039333</v>
      </c>
      <c r="BN15" s="6"/>
      <c r="BO15" s="6"/>
      <c r="BP15" s="6"/>
      <c r="BQ15" s="205">
        <v>100.2</v>
      </c>
      <c r="BR15" s="6"/>
      <c r="BS15" s="6"/>
      <c r="BT15" s="205">
        <v>73.400000000000006</v>
      </c>
      <c r="BU15" s="6"/>
      <c r="BV15" s="6"/>
      <c r="BW15" s="205">
        <v>132.5</v>
      </c>
      <c r="BX15" s="6"/>
      <c r="BY15" s="6"/>
      <c r="BZ15" s="205">
        <v>174.7</v>
      </c>
      <c r="CA15" s="6"/>
      <c r="CB15" s="6"/>
      <c r="CC15" s="6"/>
      <c r="CD15" s="205">
        <v>39.4</v>
      </c>
      <c r="CE15" s="6"/>
      <c r="CF15" s="6"/>
      <c r="CG15" s="6">
        <v>60.6</v>
      </c>
      <c r="CH15" s="6"/>
      <c r="CI15" s="205"/>
      <c r="CJ15" s="6">
        <v>82.1</v>
      </c>
      <c r="CK15" s="205"/>
      <c r="CL15" s="6"/>
      <c r="CM15" s="205">
        <v>137.4</v>
      </c>
      <c r="CN15" s="6"/>
      <c r="CO15" s="6"/>
      <c r="CP15" s="6"/>
      <c r="CQ15" s="6">
        <v>208</v>
      </c>
      <c r="CR15" s="6"/>
      <c r="CS15" s="6"/>
      <c r="CT15" s="6">
        <v>89.5</v>
      </c>
      <c r="CU15" s="6"/>
      <c r="CV15" s="6"/>
      <c r="CW15" s="6">
        <v>162.1</v>
      </c>
      <c r="CX15" s="6"/>
      <c r="CY15" s="6"/>
      <c r="CZ15" s="6">
        <v>-71.3</v>
      </c>
      <c r="DA15" s="6"/>
      <c r="DB15" s="135"/>
      <c r="DC15" s="6"/>
      <c r="DD15" s="6">
        <v>74.2</v>
      </c>
      <c r="DE15" s="6"/>
      <c r="DF15" s="135"/>
      <c r="DG15" s="6">
        <v>24.5</v>
      </c>
      <c r="DH15" s="6"/>
      <c r="DI15" s="6"/>
      <c r="DJ15" s="6">
        <v>82.2</v>
      </c>
      <c r="DM15" s="6">
        <v>-19.3</v>
      </c>
      <c r="DQ15" s="5">
        <v>29.1</v>
      </c>
      <c r="DT15">
        <v>45.4</v>
      </c>
      <c r="DW15">
        <v>107.2</v>
      </c>
      <c r="DZ15" s="5">
        <v>90.169824383807395</v>
      </c>
      <c r="ED15" s="5">
        <v>67.284931403993298</v>
      </c>
    </row>
    <row r="16" spans="1:144" ht="4.9000000000000004" customHeight="1">
      <c r="A16" s="2"/>
      <c r="B16" s="19"/>
      <c r="C16" s="19"/>
      <c r="D16" s="19"/>
      <c r="E16" s="19"/>
      <c r="F16" s="19"/>
      <c r="G16" s="19"/>
      <c r="H16" s="19"/>
      <c r="I16" s="19"/>
      <c r="J16" s="19"/>
      <c r="K16" s="19"/>
      <c r="L16" s="16"/>
      <c r="M16" s="15"/>
      <c r="N16" s="15"/>
      <c r="CD16" s="5"/>
      <c r="CE16" s="5"/>
      <c r="CF16" s="5"/>
      <c r="CG16" s="5"/>
      <c r="CH16" s="5"/>
      <c r="CI16" s="5"/>
      <c r="CJ16" s="5"/>
      <c r="CQ16" s="5"/>
      <c r="CR16" s="5"/>
      <c r="CS16" s="5"/>
      <c r="DE16" s="5"/>
    </row>
    <row r="17" spans="1:148" ht="12.75" customHeight="1">
      <c r="A17" s="314" t="s">
        <v>130</v>
      </c>
      <c r="B17" s="314"/>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4"/>
      <c r="BB17" s="314"/>
      <c r="BC17" s="314"/>
      <c r="BD17" s="314"/>
      <c r="BE17" s="314"/>
      <c r="BF17" s="314"/>
      <c r="BG17" s="314"/>
      <c r="BH17" s="314"/>
      <c r="BI17" s="314"/>
      <c r="BJ17" s="314"/>
      <c r="BK17" s="314"/>
      <c r="BL17" s="314"/>
      <c r="BM17" s="314"/>
      <c r="BN17" s="314"/>
      <c r="BO17" s="314"/>
      <c r="BP17" s="314"/>
      <c r="BQ17" s="314"/>
      <c r="BR17" s="314"/>
      <c r="BS17" s="314"/>
      <c r="BT17" s="314"/>
      <c r="BU17" s="314"/>
      <c r="BV17" s="314"/>
      <c r="BW17" s="314"/>
      <c r="BX17" s="314"/>
      <c r="BY17" s="314"/>
      <c r="BZ17" s="314"/>
      <c r="CA17" s="314"/>
      <c r="CB17" s="314"/>
      <c r="CC17" s="314"/>
      <c r="CD17" s="314"/>
      <c r="CE17" s="314"/>
      <c r="CF17" s="314"/>
      <c r="CG17" s="314"/>
      <c r="CH17" s="314"/>
      <c r="CI17" s="314"/>
      <c r="CJ17" s="314"/>
      <c r="CK17" s="314"/>
      <c r="CL17" s="314"/>
      <c r="CM17" s="314"/>
      <c r="CN17" s="314"/>
      <c r="CO17" s="314"/>
      <c r="CP17" s="314"/>
      <c r="CQ17" s="314"/>
      <c r="CR17" s="314"/>
      <c r="CS17" s="314"/>
      <c r="CT17" s="314"/>
      <c r="CU17" s="314"/>
      <c r="CV17" s="314"/>
      <c r="CW17" s="314"/>
      <c r="CX17" s="314"/>
      <c r="CY17" s="314"/>
      <c r="CZ17" s="314"/>
      <c r="DA17" s="314"/>
      <c r="DB17" s="314"/>
      <c r="DC17" s="314"/>
      <c r="DD17" s="314"/>
      <c r="DE17" s="314"/>
      <c r="DF17" s="314"/>
      <c r="DG17" s="314"/>
      <c r="DH17" s="314"/>
      <c r="DI17" s="314"/>
      <c r="DJ17" s="314"/>
      <c r="DK17" s="314"/>
      <c r="DL17" s="314"/>
      <c r="DM17" s="314"/>
      <c r="DN17" s="314"/>
      <c r="DO17" s="314"/>
      <c r="DP17" s="314"/>
      <c r="DQ17" s="314"/>
      <c r="DR17" s="314"/>
      <c r="DS17" s="314"/>
      <c r="DT17" s="314"/>
      <c r="DU17" s="314"/>
      <c r="DV17" s="314"/>
      <c r="DW17" s="314"/>
      <c r="DX17" s="314"/>
      <c r="DY17" s="314"/>
      <c r="DZ17" s="314"/>
      <c r="EA17" s="314"/>
      <c r="EB17" s="314"/>
      <c r="EC17" s="314"/>
      <c r="ED17" s="314"/>
      <c r="EE17" s="314"/>
      <c r="EF17" s="314"/>
      <c r="EG17" s="314"/>
      <c r="EH17" s="314"/>
      <c r="EI17" s="314"/>
      <c r="EJ17" s="314"/>
      <c r="EK17" s="314"/>
      <c r="EL17" s="314"/>
      <c r="EM17" s="314"/>
      <c r="EN17" s="314"/>
    </row>
    <row r="18" spans="1:148" ht="6" customHeight="1">
      <c r="A18" s="10"/>
      <c r="B18" s="19"/>
      <c r="C18" s="19"/>
      <c r="D18" s="19"/>
      <c r="E18" s="19"/>
      <c r="F18" s="19"/>
      <c r="G18" s="19"/>
      <c r="H18" s="19"/>
      <c r="I18" s="19"/>
      <c r="J18" s="17"/>
      <c r="K18" s="19"/>
      <c r="L18" s="16"/>
      <c r="M18" s="15"/>
      <c r="N18" s="15"/>
      <c r="DB18" s="202"/>
      <c r="DC18" s="202"/>
      <c r="DD18" s="202"/>
      <c r="DE18" s="168"/>
      <c r="DF18" s="202"/>
      <c r="DG18" s="202"/>
      <c r="DH18" s="202"/>
    </row>
    <row r="19" spans="1:148" s="135" customFormat="1" ht="12.75" customHeight="1">
      <c r="A19" s="209" t="s">
        <v>57</v>
      </c>
      <c r="B19" s="8"/>
      <c r="C19" s="8"/>
      <c r="D19" s="57"/>
      <c r="E19" s="8"/>
      <c r="F19" s="8"/>
      <c r="G19" s="57"/>
      <c r="H19" s="8"/>
      <c r="I19" s="8"/>
      <c r="J19" s="57"/>
      <c r="K19" s="8"/>
      <c r="L19" s="88"/>
      <c r="M19" s="57"/>
      <c r="N19" s="88"/>
      <c r="Q19" s="57"/>
      <c r="T19" s="57"/>
      <c r="W19" s="57"/>
      <c r="Z19" s="57"/>
      <c r="AD19" s="57"/>
      <c r="AG19" s="57"/>
      <c r="AJ19" s="57"/>
      <c r="AM19" s="57"/>
      <c r="AN19" s="8"/>
      <c r="AQ19" s="57"/>
      <c r="AT19" s="57"/>
      <c r="AW19" s="57"/>
      <c r="AZ19" s="57"/>
      <c r="BD19" s="57">
        <f>+BD13/Real!BP12*100</f>
        <v>-22.734604603978614</v>
      </c>
      <c r="BG19" s="57">
        <f>SUM($BD13:BG13)/SUM(Real!$BP12:BS12)*100</f>
        <v>-18.200467905249116</v>
      </c>
      <c r="BJ19" s="57">
        <f>SUM($BD13:BJ13)/SUM(Real!$BP12:BV12)*100</f>
        <v>-12.085709132400622</v>
      </c>
      <c r="BM19" s="57">
        <f>SUM($BD13:BM13)/SUM(Real!$BP12:BY12)*100</f>
        <v>-10.462248186784651</v>
      </c>
      <c r="BQ19" s="57">
        <f>+BQ13/Real!CC12*100</f>
        <v>-23.263282686198963</v>
      </c>
      <c r="BR19" s="57" t="e">
        <f>IF([8]Real!CD$12&lt;&gt;0,(BR13/[8]Real!CD$12)*100,"")</f>
        <v>#REF!</v>
      </c>
      <c r="BS19" s="57" t="e">
        <f>IF([8]Real!CE$12&lt;&gt;0,(BS13/[8]Real!CE$12)*100,"")</f>
        <v>#REF!</v>
      </c>
      <c r="BT19" s="57">
        <f>SUM($BQ13:BT13)/SUM(Real!$CC12:CF12)*100</f>
        <v>-18.510706284400857</v>
      </c>
      <c r="BU19" s="57"/>
      <c r="BV19" s="57"/>
      <c r="BW19" s="57">
        <f>SUM($BQ13:BW13)/SUM(Real!$CC12:CI12)*100</f>
        <v>-11.692993536490567</v>
      </c>
      <c r="BX19" s="57"/>
      <c r="BY19" s="57"/>
      <c r="BZ19" s="57">
        <f>SUM($BQ13:BZ13)/SUM(Real!$CC12:CL12)*100</f>
        <v>-10.670472369602958</v>
      </c>
      <c r="CA19" s="57"/>
      <c r="CB19" s="57"/>
      <c r="CC19" s="57"/>
      <c r="CD19" s="57">
        <f>+CD13/Real!CP12*100</f>
        <v>-19.770146010944952</v>
      </c>
      <c r="CE19" s="57"/>
      <c r="CF19" s="57"/>
      <c r="CG19" s="57">
        <f>SUM($CD13:CG13)/SUM(Real!$CP12:CS12)*100</f>
        <v>-13.447861343799921</v>
      </c>
      <c r="CH19" s="57"/>
      <c r="CI19" s="57"/>
      <c r="CJ19" s="57">
        <f>SUM($CD13:CJ13)/SUM(Real!$CP12:CV12)*100</f>
        <v>-8.0292680135394345</v>
      </c>
      <c r="CK19" s="57"/>
      <c r="CL19" s="57"/>
      <c r="CM19" s="57">
        <f>SUM($CD13:CM13)/SUM(Real!$CP12:CY12)*100</f>
        <v>-8.0800535448828565</v>
      </c>
      <c r="CN19" s="57"/>
      <c r="CO19" s="57"/>
      <c r="CP19" s="57"/>
      <c r="CQ19" s="57">
        <f>+CQ13/Real!DC12*100</f>
        <v>-26.374885515621333</v>
      </c>
      <c r="CR19" s="57"/>
      <c r="CT19" s="57">
        <f>SUM($CQ13:CT13)/SUM(Real!$DC12:DF12)*100</f>
        <v>-15.647461470975758</v>
      </c>
      <c r="CW19" s="57">
        <f>SUM($CQ13:CW13)/SUM(Real!$DC12:DI12)*100</f>
        <v>-10.594834609082925</v>
      </c>
      <c r="CZ19" s="57">
        <f>SUM($CQ13:CZ13)/SUM(Real!$DC12:DL12)*100</f>
        <v>-7.815149022983821</v>
      </c>
      <c r="DB19" s="284"/>
      <c r="DC19" s="284"/>
      <c r="DD19" s="57">
        <f>+DD13/Real!DP12*100</f>
        <v>-13.950967718422657</v>
      </c>
      <c r="DE19" s="193"/>
      <c r="DF19" s="284"/>
      <c r="DG19" s="57">
        <f>SUM($DD13:DG13)/SUM(Real!$DP12:DS12)*100</f>
        <v>-5.7098564253520872</v>
      </c>
      <c r="DH19" s="284"/>
      <c r="DJ19" s="57">
        <f>SUM($DD13:DJ13)/SUM(Real!$DP12:DV12)*100</f>
        <v>-2.5310281418935077</v>
      </c>
      <c r="DM19" s="57">
        <f>SUM($DD13:DM13)/SUM(Real!$DP12:DY12)*100</f>
        <v>-2.649568949906322</v>
      </c>
      <c r="DQ19" s="57">
        <f>+DQ13/Real!EC12*100</f>
        <v>-6.308435334267708</v>
      </c>
      <c r="DT19" s="57">
        <f>SUM($DQ13:DT13)/SUM(Real!$EC12:EF12)*100</f>
        <v>-3.6350968926428791</v>
      </c>
      <c r="DW19" s="57">
        <f>SUM($DQ13:DW13)/SUM(Real!$EC12:EI12)*100</f>
        <v>-1.3707323983627324</v>
      </c>
      <c r="DZ19" s="57">
        <f>SUM($DQ13:DZ13)/SUM(Real!$EC12:EL12)*100</f>
        <v>-2.7015781486150319</v>
      </c>
      <c r="ED19" s="193">
        <f>+ED13/Real!EP12*100</f>
        <v>-4.309973910010803</v>
      </c>
    </row>
    <row r="20" spans="1:148" s="285" customFormat="1" ht="12.75" customHeight="1">
      <c r="A20" s="206" t="s">
        <v>56</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t="e">
        <f>IF([8]Real!BM$12&lt;&gt;0,(BA10/[8]Real!BM$12)*100,"")</f>
        <v>#REF!</v>
      </c>
      <c r="BB20" s="57" t="e">
        <f>IF([8]Real!BN$12&lt;&gt;0,(SUM(AZ10:BB10)/[8]Real!BN$12)*100,"")</f>
        <v>#REF!</v>
      </c>
      <c r="BC20" s="57" t="e">
        <f>IF([8]Real!BO$12&lt;&gt;0,(SUM(BA10:BC10)/[8]Real!BO$12)*100,"")</f>
        <v>#REF!</v>
      </c>
      <c r="BD20" s="57">
        <f>SUM(BB10:BD10)/Real!BP$12*100</f>
        <v>-36.394170343914375</v>
      </c>
      <c r="BE20" s="57"/>
      <c r="BF20" s="57"/>
      <c r="BG20" s="57">
        <f>+SUM($BB10:BG10)/SUM(Real!$BP$12:BS$12)*100</f>
        <v>-33.513935173223359</v>
      </c>
      <c r="BH20" s="57" t="e">
        <f>IF([8]Real!BT$12&lt;&gt;0,(SUM(BF10:BH10)/[8]Real!BT$12)*100,"")</f>
        <v>#REF!</v>
      </c>
      <c r="BI20" s="57" t="e">
        <f>IF([8]Real!BU$12&lt;&gt;0,(SUM(BG10:BI10)/[8]Real!BU$12)*100,"")</f>
        <v>#REF!</v>
      </c>
      <c r="BJ20" s="57">
        <f>+SUM($BB10:BJ10)/SUM(Real!$BP$12:BV$12)*100</f>
        <v>-28.866716076432418</v>
      </c>
      <c r="BK20" s="57" t="e">
        <f>IF([8]Real!BW$12&lt;&gt;0,(SUM(BI10:BK10)/[8]Real!BW$12)*100,"")</f>
        <v>#REF!</v>
      </c>
      <c r="BM20" s="57">
        <f>+SUM($BB10:BM10)/SUM(Real!$BP$12:BY$12)*100</f>
        <v>-27.880104193915589</v>
      </c>
      <c r="BQ20" s="57">
        <f>SUM(BO10:BQ10)/Real!CC$12*100</f>
        <v>-38.502851977041793</v>
      </c>
      <c r="BR20" s="57" t="e">
        <f>IF([8]Real!CD$12&lt;&gt;0,(SUM(BP10:BR10)/[8]Real!CD$12)*100,"")</f>
        <v>#REF!</v>
      </c>
      <c r="BS20" s="57" t="e">
        <f>IF([8]Real!CE$12&lt;&gt;0,(SUM(BQ10:BS10)/[8]Real!CE$12)*100,"")</f>
        <v>#REF!</v>
      </c>
      <c r="BT20" s="57">
        <f>+SUM($BO10:BT10)/SUM(Real!$CC$12:CF$12)*100</f>
        <v>-35.266557198054713</v>
      </c>
      <c r="BU20" s="57"/>
      <c r="BV20" s="57"/>
      <c r="BW20" s="57">
        <f>+SUM($BO10:BW10)/SUM(Real!$CC$12:CI$12)*100</f>
        <v>-29.407140305376384</v>
      </c>
      <c r="BX20" s="57"/>
      <c r="BY20" s="57"/>
      <c r="BZ20" s="57">
        <f>+SUM($BO10:BZ10)/SUM(Real!$CC$12:CL$12)*100</f>
        <v>-29.060794310449694</v>
      </c>
      <c r="CA20" s="57"/>
      <c r="CB20" s="57"/>
      <c r="CC20" s="57"/>
      <c r="CD20" s="57">
        <f>SUM(CB10:CD10)/Real!CP$12*100</f>
        <v>-36.069617904270956</v>
      </c>
      <c r="CE20" s="57"/>
      <c r="CF20" s="57"/>
      <c r="CG20" s="57">
        <f>+SUM($CB10:CG10)/SUM(Real!$CP$12:CS$12)*100</f>
        <v>-32.941767089984815</v>
      </c>
      <c r="CH20" s="57"/>
      <c r="CI20" s="57"/>
      <c r="CJ20" s="57">
        <f>+SUM($CB10:CJ10)/SUM(Real!$CP$12:CV$12)*100</f>
        <v>-28.38065436605951</v>
      </c>
      <c r="CK20" s="57"/>
      <c r="CL20" s="57"/>
      <c r="CM20" s="57">
        <f>+SUM($CB10:CM10)/SUM(Real!$CP$12:CY$12)*100</f>
        <v>-28.87707991839379</v>
      </c>
      <c r="CN20" s="57"/>
      <c r="CO20" s="57"/>
      <c r="CP20" s="57"/>
      <c r="CQ20" s="57">
        <f>SUM(CO10:CQ10)/Real!DC$12*100</f>
        <v>-34.655836453683087</v>
      </c>
      <c r="CR20" s="57"/>
      <c r="CT20" s="57">
        <f>+SUM($CO10:CT10)/SUM(Real!$DC$12:DF$12)*100</f>
        <v>-31.877844265939657</v>
      </c>
      <c r="CW20" s="57">
        <f>+SUM($CO10:CW10)/SUM(Real!$DC$12:DI$12)*100</f>
        <v>-27.879361372825134</v>
      </c>
      <c r="CZ20" s="57">
        <f>+SUM($CO10:CZ10)/SUM(Real!$DC$12:DL$12)*100</f>
        <v>-26.529440067070205</v>
      </c>
      <c r="DB20" s="284"/>
      <c r="DC20" s="284"/>
      <c r="DD20" s="57">
        <f>SUM(DB10:DD10)/Real!DP$12*100</f>
        <v>-24.016596372607196</v>
      </c>
      <c r="DE20" s="193"/>
      <c r="DF20" s="284"/>
      <c r="DG20" s="57">
        <f>+SUM($DB10:DG10)/SUM(Real!$DP$12:DS$12)*100</f>
        <v>-19.785698116245236</v>
      </c>
      <c r="DH20" s="284"/>
      <c r="DJ20" s="57">
        <f>+SUM($DB10:DJ10)/SUM(Real!$DP$12:DV$12)*100</f>
        <v>-17.043361944410314</v>
      </c>
      <c r="DM20" s="57">
        <f>+SUM($DB10:DM10)/SUM(Real!$DP$12:DY$12)*100</f>
        <v>-16.601844119343941</v>
      </c>
      <c r="DQ20" s="57">
        <f>SUM(DO10:DQ10)/Real!EC$12*100</f>
        <v>-16.391055256450748</v>
      </c>
      <c r="DT20" s="57">
        <f>+SUM($DO10:DT10)/SUM(Real!$EC$12:EF$12)*100</f>
        <v>-15.184672238920907</v>
      </c>
      <c r="DW20" s="57">
        <f>+SUM($DO10:DW10)/SUM(Real!$EC$12:EI$12)*100</f>
        <v>-13.633047843814566</v>
      </c>
      <c r="DZ20" s="57">
        <f>+SUM($DO10:DZ10)/SUM(Real!$EC$12:EL$12)*100</f>
        <v>-14.285718146984639</v>
      </c>
      <c r="ED20" s="193">
        <f>SUM(EB10:ED10)/Real!EP$12*100</f>
        <v>-18.108660658690091</v>
      </c>
    </row>
    <row r="21" spans="1:148" s="285" customFormat="1" ht="12.75" customHeight="1">
      <c r="A21" s="207" t="s">
        <v>54</v>
      </c>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t="e">
        <f>IF([8]Real!BM$12&lt;&gt;0,(BA11/[8]Real!BM$12)*100,"")</f>
        <v>#REF!</v>
      </c>
      <c r="BB21" s="57" t="e">
        <f>IF([8]Real!BN$12&lt;&gt;0,(SUM(AZ11:BB11)/[8]Real!BN$12)*100,"")</f>
        <v>#REF!</v>
      </c>
      <c r="BC21" s="57" t="e">
        <f>IF([8]Real!BO$12&lt;&gt;0,(SUM(BA11:BC11)/[8]Real!BO$12)*100,"")</f>
        <v>#REF!</v>
      </c>
      <c r="BD21" s="57">
        <f>SUM(BB11:BD11)/Real!BP$12*100</f>
        <v>15.700032399798722</v>
      </c>
      <c r="BE21" s="57"/>
      <c r="BF21" s="57"/>
      <c r="BG21" s="57">
        <f>+SUM($BB11:BG11)/SUM(Real!$BP$12:BS$12)*100</f>
        <v>15.65783093781898</v>
      </c>
      <c r="BH21" s="57"/>
      <c r="BI21" s="57"/>
      <c r="BJ21" s="57">
        <f>+SUM($BB11:BJ11)/SUM(Real!$BP$12:BV$12)*100</f>
        <v>13.930603727569743</v>
      </c>
      <c r="BK21" s="57"/>
      <c r="BM21" s="57">
        <f>+SUM($BB11:BM11)/SUM(Real!$BP$12:BY$12)*100</f>
        <v>13.137252910029471</v>
      </c>
      <c r="BQ21" s="57">
        <f>SUM(BO11:BQ11)/Real!CC$12*100</f>
        <v>17.66466278453299</v>
      </c>
      <c r="BR21" s="57"/>
      <c r="BS21" s="57"/>
      <c r="BT21" s="57">
        <f>+SUM($BO11:BT11)/SUM(Real!$CC$12:CF$12)*100</f>
        <v>16.311288407320834</v>
      </c>
      <c r="BU21" s="57"/>
      <c r="BV21" s="57"/>
      <c r="BW21" s="57">
        <f>+SUM($BO11:BW11)/SUM(Real!$CC$12:CI$12)*100</f>
        <v>14.335399459522357</v>
      </c>
      <c r="BX21" s="57"/>
      <c r="BY21" s="57"/>
      <c r="BZ21" s="57">
        <f>+SUM($BO11:BZ11)/SUM(Real!$CC$12:CL$12)*100</f>
        <v>13.921977488233129</v>
      </c>
      <c r="CA21" s="57"/>
      <c r="CB21" s="57"/>
      <c r="CC21" s="57"/>
      <c r="CD21" s="57">
        <f>SUM(CB11:CD11)/Real!CP$12*100</f>
        <v>19.542228760918782</v>
      </c>
      <c r="CE21" s="57"/>
      <c r="CF21" s="57"/>
      <c r="CG21" s="57">
        <f>+SUM($CB11:CG11)/SUM(Real!$CP$12:CS$12)*100</f>
        <v>17.846163520585499</v>
      </c>
      <c r="CH21" s="57"/>
      <c r="CI21" s="57"/>
      <c r="CJ21" s="57">
        <f>+SUM($CB11:CJ11)/SUM(Real!$CP$12:CV$12)*100</f>
        <v>15.353790033796599</v>
      </c>
      <c r="CK21" s="57"/>
      <c r="CL21" s="57"/>
      <c r="CM21" s="57">
        <f>+SUM($CB11:CM11)/SUM(Real!$CP$12:CY$12)*100</f>
        <v>14.168786677639305</v>
      </c>
      <c r="CN21" s="57"/>
      <c r="CO21" s="57"/>
      <c r="CP21" s="57"/>
      <c r="CQ21" s="57">
        <f>SUM(CO11:CQ11)/Real!DC$12*100</f>
        <v>19.248334364016557</v>
      </c>
      <c r="CR21" s="57"/>
      <c r="CT21" s="57">
        <f>+SUM($CO11:CT11)/SUM(Real!$DC$12:DF$12)*100</f>
        <v>17.176019622325743</v>
      </c>
      <c r="CW21" s="57">
        <f>+SUM($CO11:CW11)/SUM(Real!$DC$12:DI$12)*100</f>
        <v>14.851129189867951</v>
      </c>
      <c r="CZ21" s="57">
        <f>+SUM($CO11:CZ11)/SUM(Real!$DC$12:DL$12)*100</f>
        <v>13.983924855998374</v>
      </c>
      <c r="DB21" s="284"/>
      <c r="DC21" s="284"/>
      <c r="DD21" s="57">
        <f>SUM(DB11:DD11)/Real!DP$12*100</f>
        <v>16.205339551142011</v>
      </c>
      <c r="DE21" s="193"/>
      <c r="DF21" s="284"/>
      <c r="DG21" s="57">
        <f>+SUM($DB11:DG11)/SUM(Real!$DP$12:DS$12)*100</f>
        <v>17.153661497260281</v>
      </c>
      <c r="DH21" s="284"/>
      <c r="DJ21" s="57">
        <f>+SUM($DB11:DJ11)/SUM(Real!$DP$12:DV$12)*100</f>
        <v>14.965023339099195</v>
      </c>
      <c r="DM21" s="57">
        <f>+SUM($DB11:DM11)/SUM(Real!$DP$12:DY$12)*100</f>
        <v>14.115586172514039</v>
      </c>
      <c r="DQ21" s="57">
        <f>SUM(DO11:DQ11)/Real!EC$12*100</f>
        <v>20.687317251339966</v>
      </c>
      <c r="DT21" s="57">
        <f>+SUM($DO11:DT11)/SUM(Real!$EC$12:EF$12)*100</f>
        <v>19.471186102514832</v>
      </c>
      <c r="DW21" s="57">
        <f>+SUM($DO11:DW11)/SUM(Real!$EC$12:EI$12)*100</f>
        <v>17.488654737731412</v>
      </c>
      <c r="DZ21" s="57">
        <f>+SUM($DO11:DZ11)/SUM(Real!$EC$12:EL$12)*100</f>
        <v>16.87090606362781</v>
      </c>
      <c r="ED21" s="193">
        <f>SUM(EB11:ED11)/Real!EP$12*100</f>
        <v>22.207225864355532</v>
      </c>
    </row>
    <row r="22" spans="1:148" s="285" customFormat="1" ht="12.75" customHeight="1">
      <c r="A22" s="207" t="s">
        <v>55</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t="e">
        <f>IF([8]Real!BM$12&lt;&gt;0,(BA12/[8]Real!BM$12)*100,"")</f>
        <v>#REF!</v>
      </c>
      <c r="BB22" s="57" t="e">
        <f>IF([8]Real!BN$12&lt;&gt;0,(SUM(AZ12:BB12)/[8]Real!BN$12)*100,"")</f>
        <v>#REF!</v>
      </c>
      <c r="BC22" s="57" t="e">
        <f>IF([8]Real!BO$12&lt;&gt;0,(SUM(BA12:BC12)/[8]Real!BO$12)*100,"")</f>
        <v>#REF!</v>
      </c>
      <c r="BD22" s="57">
        <f>SUM(BB12:BD12)/Real!BP$12*100</f>
        <v>52.09420274371309</v>
      </c>
      <c r="BE22" s="57"/>
      <c r="BF22" s="57"/>
      <c r="BG22" s="57">
        <f>+SUM($BB12:BG12)/SUM(Real!$BP$12:BS$12)*100</f>
        <v>49.171766111042338</v>
      </c>
      <c r="BH22" s="57"/>
      <c r="BI22" s="57"/>
      <c r="BJ22" s="57">
        <f>+SUM($BB12:BJ12)/SUM(Real!$BP$12:BV$12)*100</f>
        <v>42.797319804002164</v>
      </c>
      <c r="BK22" s="57"/>
      <c r="BM22" s="57">
        <f>+SUM($BB12:BM12)/SUM(Real!$BP$12:BY$12)*100</f>
        <v>41.017357103945059</v>
      </c>
      <c r="BQ22" s="57">
        <f>SUM(BO12:BQ12)/Real!CC$12*100</f>
        <v>56.167514761574779</v>
      </c>
      <c r="BR22" s="57"/>
      <c r="BS22" s="57"/>
      <c r="BT22" s="57">
        <f>+SUM($BO12:BT12)/SUM(Real!$CC$12:CF$12)*100</f>
        <v>51.577845605375551</v>
      </c>
      <c r="BU22" s="57"/>
      <c r="BV22" s="57"/>
      <c r="BW22" s="57">
        <f>+SUM($BO12:BW12)/SUM(Real!$CC$12:CI$12)*100</f>
        <v>43.742539764898737</v>
      </c>
      <c r="BX22" s="57"/>
      <c r="BY22" s="57"/>
      <c r="BZ22" s="57">
        <f>+SUM($BO12:BZ12)/SUM(Real!$CC$12:CL$12)*100</f>
        <v>42.982771798682826</v>
      </c>
      <c r="CA22" s="57"/>
      <c r="CB22" s="57"/>
      <c r="CC22" s="57"/>
      <c r="CD22" s="57">
        <f>SUM(CB12:CD12)/Real!CP$12*100</f>
        <v>55.611846665189738</v>
      </c>
      <c r="CE22" s="57"/>
      <c r="CF22" s="57"/>
      <c r="CG22" s="57">
        <f>+SUM($CB12:CG12)/SUM(Real!$CP$12:CS$12)*100</f>
        <v>50.787930610570321</v>
      </c>
      <c r="CH22" s="57"/>
      <c r="CI22" s="57"/>
      <c r="CJ22" s="57">
        <f>+SUM($CB12:CJ12)/SUM(Real!$CP$12:CV$12)*100</f>
        <v>43.734444399856109</v>
      </c>
      <c r="CK22" s="57"/>
      <c r="CL22" s="57"/>
      <c r="CM22" s="57">
        <f>+SUM($CB12:CM12)/SUM(Real!$CP$12:CY$12)*100</f>
        <v>43.045866596033093</v>
      </c>
      <c r="CN22" s="57"/>
      <c r="CO22" s="57"/>
      <c r="CP22" s="57"/>
      <c r="CQ22" s="57">
        <f>SUM(CO12:CQ12)/Real!DC$12*100</f>
        <v>53.904170817699637</v>
      </c>
      <c r="CR22" s="57"/>
      <c r="CT22" s="57">
        <f>+SUM($CO12:CT12)/SUM(Real!$DC$12:DF$12)*100</f>
        <v>49.053863888265397</v>
      </c>
      <c r="CW22" s="57">
        <f>+SUM($CO12:CW12)/SUM(Real!$DC$12:DI$12)*100</f>
        <v>42.730490562693078</v>
      </c>
      <c r="CZ22" s="57">
        <f>+SUM($CO12:CZ12)/SUM(Real!$DC$12:DL$12)*100</f>
        <v>40.513364923068572</v>
      </c>
      <c r="DB22" s="284"/>
      <c r="DC22" s="284"/>
      <c r="DD22" s="57">
        <f>SUM(DB12:DD12)/Real!DP$12*100</f>
        <v>40.221935923749207</v>
      </c>
      <c r="DE22" s="193"/>
      <c r="DF22" s="284"/>
      <c r="DG22" s="57">
        <f>+SUM($DB12:DG12)/SUM(Real!$DP$12:DS$12)*100</f>
        <v>36.939359613505516</v>
      </c>
      <c r="DH22" s="284"/>
      <c r="DJ22" s="57">
        <f>+SUM($DB12:DJ12)/SUM(Real!$DP$12:DV$12)*100</f>
        <v>32.008385283509519</v>
      </c>
      <c r="DM22" s="57">
        <f>+SUM($DB12:DM12)/SUM(Real!$DP$12:DY$12)*100</f>
        <v>30.717430291857976</v>
      </c>
      <c r="DQ22" s="57">
        <f>SUM(DO12:DQ12)/Real!EC$12*100</f>
        <v>37.078372507790711</v>
      </c>
      <c r="DT22" s="57">
        <f>+SUM($DO12:DT12)/SUM(Real!$EC$12:EF$12)*100</f>
        <v>34.655858341435739</v>
      </c>
      <c r="DW22" s="57">
        <f>+SUM($DO12:DW12)/SUM(Real!$EC$12:EI$12)*100</f>
        <v>31.121702581545978</v>
      </c>
      <c r="DZ22" s="57">
        <f>+SUM($DO12:DZ12)/SUM(Real!$EC$12:EL$12)*100</f>
        <v>31.156624210612449</v>
      </c>
      <c r="ED22" s="193">
        <f>SUM(EB12:ED12)/Real!EP$12*100</f>
        <v>40.31588652304562</v>
      </c>
    </row>
    <row r="23" spans="1:148" s="285" customFormat="1" ht="12.75" customHeight="1">
      <c r="A23" s="287" t="s">
        <v>58</v>
      </c>
      <c r="B23" s="141"/>
      <c r="C23" s="141"/>
      <c r="D23" s="57"/>
      <c r="E23" s="141"/>
      <c r="F23" s="141"/>
      <c r="G23" s="57"/>
      <c r="H23" s="141"/>
      <c r="I23" s="141"/>
      <c r="J23" s="57"/>
      <c r="K23" s="141"/>
      <c r="L23" s="286"/>
      <c r="M23" s="57"/>
      <c r="N23" s="286"/>
      <c r="Q23" s="57"/>
      <c r="T23" s="57"/>
      <c r="W23" s="57"/>
      <c r="Z23" s="57"/>
      <c r="AD23" s="57"/>
      <c r="AG23" s="57"/>
      <c r="AJ23" s="57"/>
      <c r="AM23" s="57"/>
      <c r="AN23" s="141"/>
      <c r="AQ23" s="57"/>
      <c r="AT23" s="57"/>
      <c r="AW23" s="57"/>
      <c r="AZ23" s="57"/>
      <c r="BD23" s="57">
        <f>SUM(BB14:BD14)/Real!BP$12*100</f>
        <v>7.0165960638352383</v>
      </c>
      <c r="BE23" s="57"/>
      <c r="BF23" s="57"/>
      <c r="BG23" s="57">
        <f>+SUM($BB14:BG14)/SUM(Real!$BP$12:BS$12)*100</f>
        <v>6.3411281362786749</v>
      </c>
      <c r="BH23" s="57"/>
      <c r="BI23" s="57"/>
      <c r="BJ23" s="57">
        <f>+SUM($BB14:BJ14)/SUM(Real!$BP$12:BV$12)*100</f>
        <v>5.6029751227833646</v>
      </c>
      <c r="BK23" s="57"/>
      <c r="BM23" s="57">
        <f>+SUM($BB14:BM14)/SUM(Real!$BP$12:BY$12)*100</f>
        <v>5.7747944989273856</v>
      </c>
      <c r="BQ23" s="57">
        <f>SUM(BO14:BQ14)/Real!CC$12*100</f>
        <v>7.9605788713313554</v>
      </c>
      <c r="BR23" s="57"/>
      <c r="BS23" s="57"/>
      <c r="BT23" s="57">
        <f>+SUM($BO14:BT14)/SUM(Real!$CC$12:CF$12)*100</f>
        <v>6.9065067169472405</v>
      </c>
      <c r="BU23" s="57"/>
      <c r="BV23" s="57"/>
      <c r="BW23" s="57">
        <f>+SUM($BO14:BW14)/SUM(Real!$CC$12:CI$12)*100</f>
        <v>6.1320935195818915</v>
      </c>
      <c r="BX23" s="57"/>
      <c r="BY23" s="57"/>
      <c r="BZ23" s="57">
        <f>+SUM($BO14:BZ14)/SUM(Real!$CC$12:CL$12)*100</f>
        <v>6.3014908466967094</v>
      </c>
      <c r="CA23" s="57"/>
      <c r="CB23" s="57"/>
      <c r="CC23" s="57"/>
      <c r="CD23" s="57">
        <f>SUM(CB14:CD14)/Real!CP$12*100</f>
        <v>8.2901689280721786</v>
      </c>
      <c r="CE23" s="57"/>
      <c r="CF23" s="57"/>
      <c r="CG23" s="57">
        <f>+SUM($CB14:CG14)/SUM(Real!$CP$12:CS$12)*100</f>
        <v>7.6428227689367079</v>
      </c>
      <c r="CH23" s="57"/>
      <c r="CI23" s="57"/>
      <c r="CJ23" s="57">
        <f>+SUM($CB14:CJ14)/SUM(Real!$CP$12:CV$12)*100</f>
        <v>6.6683802590938912</v>
      </c>
      <c r="CK23" s="57"/>
      <c r="CL23" s="57"/>
      <c r="CM23" s="57">
        <f>+SUM($CB14:CM14)/SUM(Real!$CP$12:CY$12)*100</f>
        <v>6.7351785369613424</v>
      </c>
      <c r="CN23" s="57"/>
      <c r="CO23" s="57"/>
      <c r="CP23" s="57"/>
      <c r="CQ23" s="57">
        <f>SUM(CO14:CQ14)/Real!DC$12*100</f>
        <v>8.4353764029594078</v>
      </c>
      <c r="CR23" s="57"/>
      <c r="CT23" s="57">
        <f>+SUM($CO14:CT14)/SUM(Real!$DC$12:DF$12)*100</f>
        <v>7.6192599810388622</v>
      </c>
      <c r="CW23" s="57">
        <f>+SUM($CO14:CW14)/SUM(Real!$DC$12:DI$12)*100</f>
        <v>6.3658636410607095</v>
      </c>
      <c r="CZ23" s="57">
        <f>+SUM($CO14:CZ14)/SUM(Real!$DC$12:DL$12)*100</f>
        <v>5.8974227238707559</v>
      </c>
      <c r="DB23" s="284"/>
      <c r="DC23" s="284"/>
      <c r="DD23" s="57">
        <f>SUM(DB14:DD14)/Real!DP$12*100</f>
        <v>4.5896324701085005</v>
      </c>
      <c r="DE23" s="193"/>
      <c r="DF23" s="284"/>
      <c r="DG23" s="57">
        <f>+SUM($DB14:DG14)/SUM(Real!$DP$12:DS$12)*100</f>
        <v>4.7554543499879438</v>
      </c>
      <c r="DH23" s="284"/>
      <c r="DJ23" s="57">
        <f>+SUM($DB14:DJ14)/SUM(Real!$DP$12:DV$12)*100</f>
        <v>4.0393443662061799</v>
      </c>
      <c r="DM23" s="57">
        <f>+SUM($DB14:DM14)/SUM(Real!$DP$12:DY$12)*100</f>
        <v>3.9922462495052722</v>
      </c>
      <c r="DQ23" s="57">
        <f>SUM(DO14:DQ14)/Real!EC$12*100</f>
        <v>4.3669599770835941</v>
      </c>
      <c r="DT23" s="57">
        <f>+SUM($DO14:DT14)/SUM(Real!$EC$12:EF$12)*100</f>
        <v>4.0559027461404522</v>
      </c>
      <c r="DW23" s="57">
        <f>+SUM($DO14:DW14)/SUM(Real!$EC$12:EI$12)*100</f>
        <v>3.6219746723239887</v>
      </c>
      <c r="DZ23" s="57">
        <f>+SUM($DO14:DZ14)/SUM(Real!$EC$12:EL$12)*100</f>
        <v>3.7102934923711182</v>
      </c>
      <c r="ED23" s="193">
        <f>SUM(EB14:ED14)/Real!EP$12*100</f>
        <v>4.8211417443587692</v>
      </c>
      <c r="EE23" s="135"/>
      <c r="EF23" s="135"/>
      <c r="EG23" s="135"/>
      <c r="EH23" s="135"/>
      <c r="EI23" s="135"/>
      <c r="EJ23" s="135"/>
      <c r="EK23" s="135"/>
      <c r="EL23" s="135"/>
      <c r="EM23" s="135"/>
      <c r="EN23" s="135"/>
      <c r="EO23" s="135"/>
      <c r="EP23" s="135"/>
    </row>
    <row r="24" spans="1:148" s="135" customFormat="1" ht="12.75" customHeight="1">
      <c r="A24" s="210" t="s">
        <v>42</v>
      </c>
      <c r="B24" s="8"/>
      <c r="C24" s="8"/>
      <c r="D24" s="57"/>
      <c r="E24" s="8"/>
      <c r="F24" s="8"/>
      <c r="G24" s="57"/>
      <c r="H24" s="8"/>
      <c r="I24" s="8"/>
      <c r="J24" s="57"/>
      <c r="K24" s="8"/>
      <c r="L24" s="88"/>
      <c r="M24" s="57"/>
      <c r="N24" s="88"/>
      <c r="Q24" s="57"/>
      <c r="R24" s="8"/>
      <c r="T24" s="57"/>
      <c r="W24" s="57"/>
      <c r="Z24" s="57"/>
      <c r="AD24" s="57"/>
      <c r="AG24" s="57"/>
      <c r="AJ24" s="57"/>
      <c r="AM24" s="57"/>
      <c r="AN24" s="8"/>
      <c r="AQ24" s="57"/>
      <c r="AT24" s="57"/>
      <c r="AW24" s="57"/>
      <c r="AZ24" s="57"/>
      <c r="BD24" s="57">
        <f>SUM(BB15:BD15)/Real!BP$12*100</f>
        <v>9.1012567113957825</v>
      </c>
      <c r="BE24" s="57"/>
      <c r="BF24" s="57"/>
      <c r="BG24" s="57">
        <f>+SUM($BB15:BG15)/SUM(Real!$BP$12:BS$12)*100</f>
        <v>6.9742618382103867</v>
      </c>
      <c r="BH24" s="57"/>
      <c r="BI24" s="57"/>
      <c r="BJ24" s="57">
        <f>+SUM($BB15:BJ15)/SUM(Real!$BP$12:BV$12)*100</f>
        <v>5.7503411353233123</v>
      </c>
      <c r="BK24" s="57"/>
      <c r="BL24" s="285"/>
      <c r="BM24" s="57">
        <f>+SUM($BB15:BM15)/SUM(Real!$BP$12:BY$12)*100</f>
        <v>4.3211242647309485</v>
      </c>
      <c r="BN24" s="285"/>
      <c r="BO24" s="285"/>
      <c r="BP24" s="285"/>
      <c r="BQ24" s="57">
        <f>SUM(BO15:BQ15)/Real!CC$12*100</f>
        <v>5.906031827657551</v>
      </c>
      <c r="BR24" s="57"/>
      <c r="BS24" s="57"/>
      <c r="BT24" s="57">
        <f>+SUM($BO15:BT15)/SUM(Real!$CC$12:CF$12)*100</f>
        <v>4.4466789125050639</v>
      </c>
      <c r="BU24" s="57"/>
      <c r="BV24" s="57"/>
      <c r="BW24" s="57">
        <f>+SUM($BO15:BW15)/SUM(Real!$CC$12:CI$12)*100</f>
        <v>4.4565230878445483</v>
      </c>
      <c r="BX24" s="57"/>
      <c r="BY24" s="57"/>
      <c r="BZ24" s="57">
        <f>+SUM($BO15:BZ15)/SUM(Real!$CC$12:CL$12)*100</f>
        <v>4.8497976962115761</v>
      </c>
      <c r="CA24" s="57"/>
      <c r="CB24" s="57"/>
      <c r="CC24" s="57"/>
      <c r="CD24" s="57">
        <f>SUM(CB15:CD15)/Real!CP$12*100</f>
        <v>2.2530980476725282</v>
      </c>
      <c r="CE24" s="57"/>
      <c r="CF24" s="57"/>
      <c r="CG24" s="57">
        <f>+SUM($CB15:CG15)/SUM(Real!$CP$12:CS$12)*100</f>
        <v>2.5462512936361135</v>
      </c>
      <c r="CH24" s="57"/>
      <c r="CI24" s="57"/>
      <c r="CJ24" s="57">
        <f>+SUM($CB15:CJ15)/SUM(Real!$CP$12:CV$12)*100</f>
        <v>2.5656308084663682</v>
      </c>
      <c r="CK24" s="57"/>
      <c r="CL24" s="57"/>
      <c r="CM24" s="57">
        <f>+SUM($CB15:CM15)/SUM(Real!$CP$12:CY$12)*100</f>
        <v>3.0562960564140123</v>
      </c>
      <c r="CN24" s="57"/>
      <c r="CO24" s="57"/>
      <c r="CP24" s="57"/>
      <c r="CQ24" s="57">
        <f>SUM(CO15:CQ15)/Real!DC$12*100</f>
        <v>11.505111935159588</v>
      </c>
      <c r="CR24" s="57"/>
      <c r="CS24" s="285"/>
      <c r="CT24" s="57">
        <f>+SUM($CO15:CT15)/SUM(Real!$DC$12:DF$12)*100</f>
        <v>7.2360955518820536</v>
      </c>
      <c r="CU24" s="285"/>
      <c r="CV24" s="285"/>
      <c r="CW24" s="57">
        <f>+SUM($CO15:CW15)/SUM(Real!$DC$12:DI$12)*100</f>
        <v>6.1538399595146034</v>
      </c>
      <c r="CX24" s="285"/>
      <c r="CY24" s="285"/>
      <c r="CZ24" s="57">
        <f>+SUM($CO15:CZ15)/SUM(Real!$DC$12:DL$12)*100</f>
        <v>3.5739961281963279</v>
      </c>
      <c r="DA24" s="285"/>
      <c r="DB24" s="284"/>
      <c r="DC24" s="284"/>
      <c r="DD24" s="57">
        <f>SUM(DB15:DD15)/Real!DP$12*100</f>
        <v>4.0404442026032834</v>
      </c>
      <c r="DE24" s="193"/>
      <c r="DF24" s="284"/>
      <c r="DG24" s="57">
        <f>+SUM($DB15:DG15)/SUM(Real!$DP$12:DS$12)*100</f>
        <v>2.3779022328365023</v>
      </c>
      <c r="DH24" s="284"/>
      <c r="DI24" s="285"/>
      <c r="DJ24" s="57">
        <f>+SUM($DB15:DJ15)/SUM(Real!$DP$12:DV$12)*100</f>
        <v>2.4695954200028889</v>
      </c>
      <c r="DK24" s="285"/>
      <c r="DL24" s="285"/>
      <c r="DM24" s="57">
        <f>+SUM($DB15:DM15)/SUM(Real!$DP$12:DY$12)*100</f>
        <v>1.5335613979400489</v>
      </c>
      <c r="DN24" s="285"/>
      <c r="DO24" s="285"/>
      <c r="DP24" s="285"/>
      <c r="DQ24" s="57">
        <f>SUM(DO15:DQ15)/Real!EC$12*100</f>
        <v>1.5825471398895716</v>
      </c>
      <c r="DR24" s="285"/>
      <c r="DS24" s="285"/>
      <c r="DT24" s="57">
        <f>+SUM($DO15:DT15)/SUM(Real!$EC$12:EF$12)*100</f>
        <v>1.7711884794106898</v>
      </c>
      <c r="DU24" s="285"/>
      <c r="DV24" s="285"/>
      <c r="DW24" s="57">
        <f>+SUM($DO15:DW15)/SUM(Real!$EC$12:EI$12)*100</f>
        <v>2.4538135643596894</v>
      </c>
      <c r="DX24" s="285"/>
      <c r="DY24" s="285"/>
      <c r="DZ24" s="57">
        <f>+SUM($DO15:DZ15)/SUM(Real!$EC$12:EL$12)*100</f>
        <v>2.572600969608057</v>
      </c>
      <c r="EA24" s="285"/>
      <c r="EB24" s="285"/>
      <c r="EC24" s="285"/>
      <c r="ED24" s="193">
        <f>SUM(EB15:ED15)/Real!EP$12*100</f>
        <v>3.3630692526584451</v>
      </c>
      <c r="EQ24" s="285"/>
      <c r="ER24" s="285"/>
    </row>
    <row r="25" spans="1:148" ht="6" customHeight="1">
      <c r="B25" s="19"/>
      <c r="C25" s="19"/>
      <c r="D25" s="19"/>
      <c r="E25" s="19"/>
      <c r="F25" s="19"/>
      <c r="G25" s="19"/>
      <c r="H25" s="19"/>
      <c r="I25" s="19"/>
      <c r="J25" s="17"/>
      <c r="K25" s="19"/>
      <c r="L25" s="16"/>
      <c r="M25" s="15"/>
      <c r="N25" s="15"/>
      <c r="DB25" s="202"/>
      <c r="DC25" s="202"/>
      <c r="DD25" s="202"/>
      <c r="DE25" s="168"/>
      <c r="DF25" s="202"/>
      <c r="DG25" s="202"/>
      <c r="DH25" s="202"/>
    </row>
    <row r="26" spans="1:148" ht="12.75" customHeight="1">
      <c r="A26" s="315" t="s">
        <v>26</v>
      </c>
      <c r="B26" s="315"/>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315"/>
      <c r="BL26" s="315"/>
      <c r="BM26" s="315"/>
      <c r="BN26" s="315"/>
      <c r="BO26" s="315"/>
      <c r="BP26" s="315"/>
      <c r="BQ26" s="315"/>
      <c r="BR26" s="315"/>
      <c r="BS26" s="315"/>
      <c r="BT26" s="315"/>
      <c r="BU26" s="315"/>
      <c r="BV26" s="315"/>
      <c r="BW26" s="315"/>
      <c r="BX26" s="315"/>
      <c r="BY26" s="315"/>
      <c r="BZ26" s="315"/>
      <c r="CA26" s="315"/>
      <c r="CB26" s="315"/>
      <c r="CC26" s="315"/>
      <c r="CD26" s="315"/>
      <c r="CE26" s="315"/>
      <c r="CF26" s="315"/>
      <c r="CG26" s="315"/>
      <c r="CH26" s="315"/>
      <c r="CI26" s="315"/>
      <c r="CJ26" s="315"/>
      <c r="CK26" s="315"/>
      <c r="CL26" s="315"/>
      <c r="CM26" s="315"/>
      <c r="CN26" s="315"/>
      <c r="CO26" s="315"/>
      <c r="CP26" s="315"/>
      <c r="CQ26" s="315"/>
      <c r="CR26" s="315"/>
      <c r="CS26" s="315"/>
      <c r="CT26" s="315"/>
      <c r="CU26" s="315"/>
      <c r="CV26" s="315"/>
      <c r="CW26" s="315"/>
      <c r="CX26" s="315"/>
      <c r="CY26" s="315"/>
      <c r="CZ26" s="315"/>
      <c r="DA26" s="315"/>
      <c r="DB26" s="315"/>
      <c r="DC26" s="315"/>
      <c r="DD26" s="315"/>
      <c r="DE26" s="315"/>
      <c r="DF26" s="315"/>
      <c r="DG26" s="315"/>
      <c r="DH26" s="315"/>
      <c r="DI26" s="315"/>
      <c r="DJ26" s="315"/>
      <c r="DK26" s="315"/>
      <c r="DL26" s="315"/>
      <c r="DM26" s="315"/>
      <c r="DN26" s="315"/>
      <c r="DO26" s="315"/>
      <c r="DP26" s="315"/>
      <c r="DQ26" s="315"/>
      <c r="DR26" s="315"/>
      <c r="DS26" s="315"/>
      <c r="DT26" s="315"/>
      <c r="DU26" s="315"/>
      <c r="DV26" s="315"/>
      <c r="DW26" s="315"/>
      <c r="DX26" s="315"/>
      <c r="DY26" s="315"/>
      <c r="DZ26" s="315"/>
      <c r="EA26" s="315"/>
      <c r="EB26" s="315"/>
      <c r="EC26" s="315"/>
      <c r="ED26" s="315"/>
      <c r="EE26" s="315"/>
      <c r="EF26" s="315"/>
      <c r="EG26" s="315"/>
      <c r="EH26" s="315"/>
      <c r="EI26" s="315"/>
      <c r="EJ26" s="315"/>
      <c r="EK26" s="315"/>
      <c r="EL26" s="315"/>
      <c r="EM26" s="315"/>
      <c r="EN26" s="315"/>
    </row>
    <row r="27" spans="1:148" ht="3.75" customHeight="1">
      <c r="A27" s="11"/>
      <c r="B27" s="19"/>
      <c r="C27" s="19"/>
      <c r="D27" s="19"/>
      <c r="E27" s="19"/>
      <c r="F27" s="19"/>
      <c r="G27" s="19"/>
      <c r="H27" s="19"/>
      <c r="I27" s="19"/>
      <c r="J27" s="17"/>
      <c r="K27" s="19"/>
      <c r="L27" s="16"/>
      <c r="M27" s="15"/>
      <c r="N27" s="15"/>
      <c r="DE27" s="5"/>
    </row>
    <row r="28" spans="1:148" ht="12.75" customHeight="1">
      <c r="A28" s="12" t="s">
        <v>56</v>
      </c>
      <c r="B28" s="229">
        <v>103.50687600142942</v>
      </c>
      <c r="C28" s="229">
        <v>105.41354105789017</v>
      </c>
      <c r="D28" s="229">
        <v>74.533121277998816</v>
      </c>
      <c r="E28" s="229">
        <v>65.59794850637266</v>
      </c>
      <c r="F28" s="229">
        <v>61.520919908324174</v>
      </c>
      <c r="G28" s="229">
        <v>63.953634426004385</v>
      </c>
      <c r="H28" s="229">
        <v>64.835878089783506</v>
      </c>
      <c r="I28" s="229">
        <v>66.181942067125902</v>
      </c>
      <c r="J28" s="227">
        <v>64.565334669586264</v>
      </c>
      <c r="K28" s="229">
        <v>69.723440535926841</v>
      </c>
      <c r="L28" s="228">
        <v>68.500510338248404</v>
      </c>
      <c r="M28" s="228">
        <v>78.465082356230255</v>
      </c>
      <c r="N28" s="228"/>
      <c r="O28" s="5">
        <f>O10/B10*100-100</f>
        <v>52.208157444946522</v>
      </c>
      <c r="P28" s="5">
        <f>SUM(O10:P10)/SUM(B10:C10)*100-100</f>
        <v>41.538701379686643</v>
      </c>
      <c r="Q28" s="5">
        <f>SUM(O10:Q10)/SUM(B10:D10)*100-100</f>
        <v>48.040206637844562</v>
      </c>
      <c r="R28" s="5">
        <f>SUM(O10:R10)/SUM(B10:E10)*100-100</f>
        <v>56.243178973328497</v>
      </c>
      <c r="S28" s="5">
        <f>SUM(O10:S10)/SUM(B10:F10)*100-100</f>
        <v>64.849730786068108</v>
      </c>
      <c r="T28" s="5">
        <f>SUM(O10:T10)/SUM(B10:G10)*100-100</f>
        <v>65.545546380211931</v>
      </c>
      <c r="U28" s="5">
        <f>SUM(O10:U10)/SUM(B10:H10)*100-100</f>
        <v>72.460063378858337</v>
      </c>
      <c r="V28" s="5">
        <f>SUM(O10:V10)/SUM(B10:I10)*100-100</f>
        <v>66.423653590502454</v>
      </c>
      <c r="W28" s="6">
        <f>SUM(O10:W10)/SUM(B10:J10)*100-100</f>
        <v>69.486496037872797</v>
      </c>
      <c r="X28" s="32">
        <f>SUM(O10:X10)/SUM(B10:K10)*100-100</f>
        <v>69.199422321812079</v>
      </c>
      <c r="Y28" s="32">
        <f>SUM(O10:Y10)/SUM(B10:L10)*100-100</f>
        <v>65.086164809138722</v>
      </c>
      <c r="Z28" s="32">
        <f>SUM(O10:Z10)/SUM(B10:M10)*100-100</f>
        <v>58.874528860763263</v>
      </c>
      <c r="AA28" s="32"/>
      <c r="AB28" s="32">
        <f>SUM(AB10)/SUM(O10)*100-100</f>
        <v>-11.746796556571596</v>
      </c>
      <c r="AC28" s="32">
        <f>SUM(AB10:AC10)/SUM(O10:P10)*100-100</f>
        <v>-12.794410677988139</v>
      </c>
      <c r="AD28" s="32">
        <f>SUM(AB10:AD10)/SUM(O10:Q10)*100-100</f>
        <v>-12.18994778067885</v>
      </c>
      <c r="AE28" s="32">
        <f>SUM(AB10:AE10)/SUM(O10:R10)*100-100</f>
        <v>-16.074351180734141</v>
      </c>
      <c r="AF28" s="32">
        <f>SUM(AB10:AF10)/SUM(O10:S10)*100-100</f>
        <v>-23.254995158876852</v>
      </c>
      <c r="AG28" s="32">
        <f>SUM(AB10:AG10)/SUM(O10:T10)*100-100</f>
        <v>-20.58966138615294</v>
      </c>
      <c r="AH28" s="32">
        <f>SUM(AB10:AH10)/SUM(O10:U10)*100-100</f>
        <v>-23.902754676851245</v>
      </c>
      <c r="AI28" s="32">
        <f>SUM(AB10:AI10)/SUM(O10:V10)*100-100</f>
        <v>-22.035782876781553</v>
      </c>
      <c r="AJ28" s="32">
        <f>SUM(AB10:AJ10)/SUM(O10:W10)*100-100</f>
        <v>-23.015570116911604</v>
      </c>
      <c r="AK28" s="32">
        <f>SUM(AC10:AK10)/SUM(P10:X10)*100-100</f>
        <v>-25.269332817660214</v>
      </c>
      <c r="AL28" s="5">
        <f>SUM(AB10:AL10)/SUM(O10:Y10)*100-100</f>
        <v>-21.984461647778971</v>
      </c>
      <c r="AM28" s="5">
        <f>SUM(AB10:AM10)/SUM(O10:Z10)*100-100</f>
        <v>-22.51456772505648</v>
      </c>
      <c r="AN28" s="5"/>
      <c r="AO28" s="5">
        <f>SUM(AO10)/SUM(AB10)*100-100</f>
        <v>8.2123872348387863</v>
      </c>
      <c r="AP28" s="5">
        <f>SUM(AO10:AP10)/SUM(AB10:AC10)*100-100</f>
        <v>12.841286763840486</v>
      </c>
      <c r="AQ28" s="5">
        <f>SUM(AO10:AQ10)/SUM(AB10:AD10)*100-100</f>
        <v>14.978628507712315</v>
      </c>
      <c r="AR28" s="5">
        <f>SUM(AO10:AR10)/SUM(AB10:AE10)*100-100</f>
        <v>13.985234712355464</v>
      </c>
      <c r="AS28" s="5">
        <f>SUM(AO10:AS10)/SUM(AB10:AF10)*100-100</f>
        <v>20.162862713613933</v>
      </c>
      <c r="AT28" s="5">
        <f>SUM($AO10:AT10)/SUM($AB10:AG10)*100-100</f>
        <v>16.759318326802159</v>
      </c>
      <c r="AU28" s="5">
        <f>SUM($AO10:AU10)/SUM($AB10:AH10)*100-100</f>
        <v>16.577424331052981</v>
      </c>
      <c r="AV28" s="5">
        <f>SUM($AO10:AV10)/SUM($AB10:AI10)*100-100</f>
        <v>14.248671074808755</v>
      </c>
      <c r="AW28" s="5">
        <f>SUM($AO10:AW10)/SUM($AB10:AJ10)*100-100</f>
        <v>11.421622672885618</v>
      </c>
      <c r="AX28" s="5">
        <f>SUM($AO10:AX10)/SUM($AB10:AK10)*100-100</f>
        <v>9.3737613951645073</v>
      </c>
      <c r="AY28" s="5">
        <f>SUM($AO10:AY10)/SUM($AB10:AL10)*100-100</f>
        <v>6.5266058205614144</v>
      </c>
      <c r="AZ28" s="5">
        <f>SUM($AO10:AZ10)/SUM($AB10:AM10)*100-100</f>
        <v>6.3384875110309622</v>
      </c>
      <c r="BA28" s="5"/>
      <c r="BB28" s="5">
        <f>SUM($BB10:BB10)/SUM($AO10:AO10)*100-100</f>
        <v>-9.3521675596687572</v>
      </c>
      <c r="BC28" s="5">
        <f>SUM($BB10:BC10)/SUM($AO10:AP10)*100-100</f>
        <v>-6.5377766471635823</v>
      </c>
      <c r="BD28" s="5">
        <f>SUM($BB10:BD10)/SUM($AO10:AQ10)*100-100</f>
        <v>-1.6486180701470943</v>
      </c>
      <c r="BE28" s="5">
        <f>SUM($BB10:BE10)/SUM($AO10:AR10)*100-100</f>
        <v>2.1752413540266531</v>
      </c>
      <c r="BF28" s="5">
        <f>SUM($BB10:BF10)/SUM($AO10:AS10)*100-100</f>
        <v>3.2261143457096466</v>
      </c>
      <c r="BG28" s="5">
        <f>SUM($BB10:BG10)/SUM($AO10:AT10)*100-100</f>
        <v>0.78832344676864352</v>
      </c>
      <c r="BH28" s="5">
        <f>SUM($BB10:BH10)/SUM($AO10:AU10)*100-100</f>
        <v>-2.4246395806028858</v>
      </c>
      <c r="BI28" s="5">
        <f>SUM($BB10:BI10)/SUM($AO10:AV10)*100-100</f>
        <v>0.43690422151610164</v>
      </c>
      <c r="BJ28" s="5">
        <f>SUM($BB10:BJ10)/SUM($AO10:AW10)*100-100</f>
        <v>1.8498808980791352</v>
      </c>
      <c r="BK28" s="5">
        <f>SUM($BB10:BK10)/SUM($AO10:AX10)*100-100</f>
        <v>3.6374343178111559</v>
      </c>
      <c r="BL28" s="5">
        <f>SUM($BB10:BL10)/SUM($AO10:AY10)*100-100</f>
        <v>2.8208858713223179</v>
      </c>
      <c r="BM28" s="5">
        <f>SUM($BB10:BM10)/SUM($AO10:AZ10)*100-100</f>
        <v>1.811293523362778</v>
      </c>
      <c r="BN28" s="5"/>
      <c r="BO28" s="5">
        <f>SUM($BO10:BO10)/SUM($BB10:BB10)*100-100</f>
        <v>8.0847703600214231</v>
      </c>
      <c r="BP28" s="5">
        <f>SUM($BO10:BP10)/SUM($BB10:BC10)*100-100</f>
        <v>10.269064664126276</v>
      </c>
      <c r="BQ28" s="5">
        <f>SUM($BO10:BQ10)/SUM($BB10:BD10)*100-100</f>
        <v>7.3505454915365362</v>
      </c>
      <c r="BR28" s="5">
        <f>SUM($BO10:BR10)/SUM($BB10:BE10)*100-100</f>
        <v>9.6550698296854023</v>
      </c>
      <c r="BS28" s="5">
        <f>SUM($BO10:BS10)/SUM($BB10:BF10)*100-100</f>
        <v>7.2700502206194813</v>
      </c>
      <c r="BT28" s="5">
        <f>SUM($BO10:BT10)/SUM($BB10:BG10)*100-100</f>
        <v>6.6227461338186089</v>
      </c>
      <c r="BU28" s="5">
        <f>SUM($BO10:BU10)/SUM($BB10:BH10)*100-100</f>
        <v>5.9027290769643912</v>
      </c>
      <c r="BV28" s="5">
        <f>SUM($BO10:BV10)/SUM($BB10:BI10)*100-100</f>
        <v>2.1269786473080359</v>
      </c>
      <c r="BW28" s="5">
        <f>SUM($BO10:BW10)/SUM($BB10:BJ10)*100-100</f>
        <v>0.51024702657242926</v>
      </c>
      <c r="BX28" s="5">
        <f>SUM($BO10:BX10)/SUM($BB10:BK10)*100-100</f>
        <v>1.1145888105249355</v>
      </c>
      <c r="BY28" s="5">
        <f>SUM($BO10:BY10)/SUM($BB10:BL10)*100-100</f>
        <v>1.7540209109346563</v>
      </c>
      <c r="BZ28" s="5">
        <f>SUM($BO10:BZ10)/SUM($BB10:BM10)*100-100</f>
        <v>2.1027592013679595</v>
      </c>
      <c r="CA28" s="5"/>
      <c r="CB28" s="6">
        <f>SUM($CB10:CB10)/SUM($BO10:BO10)*100-100</f>
        <v>5.2122115241246973</v>
      </c>
      <c r="CC28" s="6">
        <f>SUM($CB10:CC10)/SUM($BO10:BP10)*100-100</f>
        <v>3.3542332771847612</v>
      </c>
      <c r="CD28" s="6">
        <f>SUM($CB10:CD10)/SUM($BO10:BQ10)*100-100</f>
        <v>-3.4409833826547214</v>
      </c>
      <c r="CE28" s="5">
        <f>SUM($CB10:CE10)/SUM($BO10:BR10)*100-100</f>
        <v>-4.8467824825232526</v>
      </c>
      <c r="CF28" s="5">
        <f>SUM($CB10:CF10)/SUM($BO10:BS10)*100-100</f>
        <v>-4.8821087536649088</v>
      </c>
      <c r="CG28" s="5">
        <f>SUM($CB10:CG10)/SUM($BO10:BT10)*100-100</f>
        <v>-6.034459823474549</v>
      </c>
      <c r="CH28" s="5">
        <f>SUM($CB10:CH10)/SUM($BO10:BU10)*100-100</f>
        <v>-1.0016690808575532</v>
      </c>
      <c r="CI28" s="5">
        <f>SUM($CB10:CI10)/SUM($BO10:BV10)*100-100</f>
        <v>-1.8639499697299442</v>
      </c>
      <c r="CJ28" s="5">
        <f>SUM($CB10:CJ10)/SUM($BO10:BW10)*100-100</f>
        <v>-0.27174362364094407</v>
      </c>
      <c r="CK28" s="5">
        <f>SUM($CB10:CK10)/SUM($BO10:BX10)*100-100</f>
        <v>1.438467747033684</v>
      </c>
      <c r="CL28" s="5">
        <f>SUM($CB10:CL10)/SUM($BO10:BY10)*100-100</f>
        <v>3.0225440423035366</v>
      </c>
      <c r="CM28" s="5">
        <f>SUM($CB10:CM10)/SUM($BO10:BZ10)*100-100</f>
        <v>4.7804838409385013</v>
      </c>
      <c r="CN28" s="5"/>
      <c r="CO28" s="32">
        <f>SUM($CO10:CO10)/SUM($CB10:CB10)*100-100</f>
        <v>-6.4578776439434478</v>
      </c>
      <c r="CP28" s="32">
        <f>SUM($CO10:CP10)/SUM($CB10:CC10)*100-100</f>
        <v>-8.5150966940717865</v>
      </c>
      <c r="CQ28" s="32">
        <f>SUM($CO10:CQ10)/SUM($CB10:CD10)*100-100</f>
        <v>-0.66753800947633124</v>
      </c>
      <c r="CR28" s="32">
        <f>SUM($CO10:CR10)/SUM($CB10:CE10)*100-100</f>
        <v>0.84929096605618781</v>
      </c>
      <c r="CS28" s="32">
        <f>SUM($CO10:CS10)/SUM($CB10:CF10)*100-100</f>
        <v>1.3891237504383867</v>
      </c>
      <c r="CT28" s="32">
        <f>SUM($CO10:CT10)/SUM($CB10:CG10)*100-100</f>
        <v>1.3038596208082538</v>
      </c>
      <c r="CU28" s="32">
        <f>SUM($CO10:CU10)/SUM($CB10:CH10)*100-100</f>
        <v>2.1420073737919125</v>
      </c>
      <c r="CV28" s="32">
        <f>SUM($CO10:CV10)/SUM($CB10:CI10)*100-100</f>
        <v>2.8772290540632213</v>
      </c>
      <c r="CW28" s="32">
        <f>SUM($CO10:CW10)/SUM($CB10:CJ10)*100-100</f>
        <v>3.366177263496084</v>
      </c>
      <c r="CX28" s="32">
        <f>SUM($CO10:CX10)/SUM($CB10:CK10)*100-100</f>
        <v>1.2679497342243025</v>
      </c>
      <c r="CY28" s="32">
        <f>SUM($CO10:CY10)/SUM($CB10:CL10)*100-100</f>
        <v>-1.5213749958662817</v>
      </c>
      <c r="CZ28" s="32">
        <f>SUM($CO10:CZ10)/SUM($CB10:CM10)*100-100</f>
        <v>-4.5199406153697339</v>
      </c>
      <c r="DB28" s="32">
        <f>SUM($DB10:DB10)/SUM($CO10:CO10)*100-100</f>
        <v>-43.289986871290665</v>
      </c>
      <c r="DC28" s="32">
        <f>SUM($DB10:DC10)/SUM($CO10:CP10)*100-100</f>
        <v>-32.184654598861314</v>
      </c>
      <c r="DD28" s="32">
        <f>SUM($DB10:DD10)/SUM($CO10:CQ10)*100-100</f>
        <v>-29.605718772030698</v>
      </c>
      <c r="DE28" s="32">
        <f>SUM($DB10:DE10)/SUM($CO10:CR10)*100-100</f>
        <v>-35.502466132589888</v>
      </c>
      <c r="DF28" s="32">
        <f>SUM($DB10:DF10)/SUM($CO10:CS10)*100-100</f>
        <v>-38.323323642730109</v>
      </c>
      <c r="DG28" s="32">
        <f>SUM($DB10:DG10)/SUM($CO10:CT10)*100-100</f>
        <v>-37.338192974172848</v>
      </c>
      <c r="DH28" s="32">
        <f>SUM($DB10:DH10)/SUM($CO10:CU10)*100-100</f>
        <v>-40.700688200548981</v>
      </c>
      <c r="DI28" s="32">
        <f>SUM($DB10:DI10)/SUM($CO10:CV10)*100-100</f>
        <v>-40.32910676507894</v>
      </c>
      <c r="DJ28" s="32">
        <f>SUM($DB10:DJ10)/SUM($CO10:CW10)*100-100</f>
        <v>-40.041414442090819</v>
      </c>
      <c r="DK28" s="32">
        <f>SUM($DB10:DK10)/SUM($CO10:CX10)*100-100</f>
        <v>-39.557211987765349</v>
      </c>
      <c r="DL28" s="32">
        <f>SUM($DB10:DL10)/SUM($CO10:CY10)*100-100</f>
        <v>-38.871634396828014</v>
      </c>
      <c r="DM28" s="32">
        <f>SUM($DB10:DM10)/SUM($CO10:CZ10)*100-100</f>
        <v>-39.304691468978028</v>
      </c>
      <c r="DO28" s="32">
        <f>SUM($DO10:DO10)/SUM($DB10:DB10)*100-100</f>
        <v>-40.319725933929504</v>
      </c>
      <c r="DP28" s="32">
        <f>SUM($DO10:DP10)/SUM($DB10:DC10)*100-100</f>
        <v>-35.829255777195485</v>
      </c>
      <c r="DQ28" s="32">
        <f>SUM($DO10:DQ10)/SUM($DB10:DD10)*100-100</f>
        <v>-31.662828841460495</v>
      </c>
      <c r="DR28" s="32">
        <f>SUM($DO10:DR10)/SUM($DB10:DE10)*100-100</f>
        <v>-24.028334558701729</v>
      </c>
      <c r="DS28" s="32">
        <f>SUM($DO10:DS10)/SUM($DB10:DF10)*100-100</f>
        <v>-22.048946131894525</v>
      </c>
      <c r="DT28" s="32">
        <f>SUM($DO10:DT10)/SUM($DB10:DG10)*100-100</f>
        <v>-22.228158983323439</v>
      </c>
      <c r="DU28" s="32">
        <f>SUM($DO10:DU10)/SUM($DB10:DH10)*100-100</f>
        <v>-23.716226477671569</v>
      </c>
      <c r="DV28" s="32">
        <f>SUM($DO10:DV10)/SUM($DB10:DI10)*100-100</f>
        <v>-21.096520542956583</v>
      </c>
      <c r="DW28" s="32">
        <f>SUM($DO10:DW10)/SUM($DB10:DJ10)*100-100</f>
        <v>-19.139150348314402</v>
      </c>
      <c r="DX28" s="32">
        <f>SUM($DO10:DX10)/SUM($DB10:DK10)*100-100</f>
        <v>-18.809915716728071</v>
      </c>
      <c r="DY28" s="32">
        <f>SUM($DO10:DY10)/SUM($DB10:DL10)*100-100</f>
        <v>-16.538739447211157</v>
      </c>
      <c r="DZ28" s="32">
        <f>SUM($DO10:DZ10)/SUM($DB10:DM10)*100-100</f>
        <v>-13.703310644416831</v>
      </c>
      <c r="EB28" s="32">
        <f>SUM($EB10:EB10)/SUM($DO10:DO10)*100-100</f>
        <v>47.910447761194064</v>
      </c>
      <c r="EC28" s="32">
        <f>SUM($EB10:EC10)/SUM($DO10:DP10)*100-100</f>
        <v>31.613677264547107</v>
      </c>
      <c r="ED28" s="32">
        <f>SUM($EB10:ED10)/SUM($DO10:DQ10)*100-100</f>
        <v>20.205706702057086</v>
      </c>
      <c r="EE28" s="32">
        <f>SUM($EB10:EE10)/SUM($DO10:DR10)*100-100</f>
        <v>9.974483878450485</v>
      </c>
      <c r="EF28" s="32">
        <f>SUM($EB10:EF10)/SUM($DO10:DS10)*100-100</f>
        <v>27.06822829522217</v>
      </c>
      <c r="EG28" s="32">
        <f>SUM($EB10:EG10)/SUM($DO10:DT10)*100-100</f>
        <v>29.685298262094904</v>
      </c>
      <c r="EH28" s="32">
        <f>SUM($EB10:EH10)/SUM($DO10:DU10)*100-100</f>
        <v>35.533065298766132</v>
      </c>
    </row>
    <row r="29" spans="1:148">
      <c r="A29" s="4" t="s">
        <v>40</v>
      </c>
      <c r="B29" s="229">
        <v>24</v>
      </c>
      <c r="C29" s="229">
        <v>18.899999999999999</v>
      </c>
      <c r="D29" s="229">
        <v>25.1</v>
      </c>
      <c r="E29" s="229">
        <v>27.1</v>
      </c>
      <c r="F29" s="229">
        <v>24.9</v>
      </c>
      <c r="G29" s="229">
        <v>20.5</v>
      </c>
      <c r="H29" s="229">
        <v>20.8</v>
      </c>
      <c r="I29" s="229">
        <v>23.2</v>
      </c>
      <c r="J29" s="227">
        <v>20.216716036585236</v>
      </c>
      <c r="K29" s="229">
        <v>18.600000000000001</v>
      </c>
      <c r="L29" s="228">
        <v>21.1</v>
      </c>
      <c r="M29" s="15">
        <v>15.283189135596501</v>
      </c>
      <c r="N29" s="15"/>
      <c r="O29" s="15">
        <v>2.4</v>
      </c>
      <c r="P29" s="5">
        <f>SUM(O11:P11)/SUM(B11:C11)*100-100</f>
        <v>5.9916594301843134</v>
      </c>
      <c r="Q29" s="5">
        <f>SUM(O11:Q11)/SUM(B11:D11)*100-100</f>
        <v>1.3225555771299042</v>
      </c>
      <c r="R29" s="5">
        <f>SUM(O11:R11)/SUM(B11:E11)*100-100</f>
        <v>4.2144161315373481</v>
      </c>
      <c r="S29" s="5">
        <f>SUM(O11:S11)/SUM(B11:F11)*100-100</f>
        <v>-0.39666632198577645</v>
      </c>
      <c r="T29" s="5">
        <f>SUM(O11:T11)/SUM(B11:G11)*100-100</f>
        <v>-0.81628602336145661</v>
      </c>
      <c r="U29" s="5">
        <f>SUM(O11:U11)/SUM(B11:H11)*100-100</f>
        <v>0.93487121616873026</v>
      </c>
      <c r="V29" s="5">
        <f>SUM(O11:V11)/SUM(B11:I11)*100-100</f>
        <v>-5.1315752601192344</v>
      </c>
      <c r="W29" s="6">
        <f>SUM(O11:W11)/SUM(B11:J11)*100-100</f>
        <v>-0.8140886689402862</v>
      </c>
      <c r="X29" s="32">
        <f>SUM(O11:X11)/SUM(B11:K11)*100-100</f>
        <v>-0.27579072067412369</v>
      </c>
      <c r="Y29" s="32">
        <f>SUM(O11:Y11)/SUM(B11:L11)*100-100</f>
        <v>-4.4797685532387561</v>
      </c>
      <c r="Z29" s="32">
        <f>SUM(O11:Z11)/SUM(B11:M11)*100-100</f>
        <v>-8.2416013417295915</v>
      </c>
      <c r="AB29" s="32">
        <f>SUM(AB11)/SUM(O11)*100-100</f>
        <v>-43.841951571625451</v>
      </c>
      <c r="AC29" s="32">
        <f>SUM(AB11:AC11)/SUM(O11:P11)*100-100</f>
        <v>-42.017516312502181</v>
      </c>
      <c r="AD29" s="32">
        <f>SUM(AB11:AD11)/SUM(O11:Q11)*100-100</f>
        <v>-47.332479726845925</v>
      </c>
      <c r="AE29" s="32">
        <f>SUM(AB11:AE11)/SUM(O11:R11)*100-100</f>
        <v>-47.846747846747853</v>
      </c>
      <c r="AF29" s="32">
        <f>SUM(AB11:AF11)/SUM(O11:S11)*100-100</f>
        <v>-47.831239630244127</v>
      </c>
      <c r="AG29" s="32">
        <f>SUM(AB11:AG11)/SUM(O11:T11)*100-100</f>
        <v>-45.975532466534794</v>
      </c>
      <c r="AH29" s="32">
        <f>SUM(AB11:AH11)/SUM(O11:U11)*100-100</f>
        <v>-44.532353411792577</v>
      </c>
      <c r="AI29" s="32">
        <f>SUM(AB11:AI11)/SUM(O11:V11)*100-100</f>
        <v>-41.080691642651303</v>
      </c>
      <c r="AJ29" s="32">
        <f>SUM(AB11:AJ11)/SUM(O11:W11)*100-100</f>
        <v>-41.516351239154169</v>
      </c>
      <c r="AK29" s="32">
        <f>SUM(AB11:AK11)/SUM(O11:X11)*100-100</f>
        <v>-40.700924532358627</v>
      </c>
      <c r="AL29" s="5">
        <v>-37.4</v>
      </c>
      <c r="AM29" s="5">
        <f>SUM(AB11:AM11)/SUM(O11:Z11)*100-100</f>
        <v>-33.989215779018068</v>
      </c>
      <c r="AN29" s="5"/>
      <c r="AO29" s="5">
        <f>SUM(AO11)/SUM(AB11)*100-100</f>
        <v>59.501280976404928</v>
      </c>
      <c r="AP29" s="5">
        <f>SUM(AO11:AP11)/SUM(AB11:AC11)*100-100</f>
        <v>47.798666441999842</v>
      </c>
      <c r="AQ29" s="5">
        <f>SUM(AO11:AQ11)/SUM(AB11:AD11)*100-100</f>
        <v>60.858995137763372</v>
      </c>
      <c r="AR29" s="5">
        <f>SUM(AO11:AR11)/SUM(AB11:AE11)*100-100</f>
        <v>65.034168564920293</v>
      </c>
      <c r="AS29" s="5">
        <f>SUM(AO11:AS11)/SUM(AB11:AF11)*100-100</f>
        <v>65.42480690595184</v>
      </c>
      <c r="AT29" s="5">
        <f>SUM($AO11:AT11)/SUM($AB11:AG11)*100-100</f>
        <v>57.412015641663686</v>
      </c>
      <c r="AU29" s="5">
        <f>SUM($AO11:AU11)/SUM($AB11:AH11)*100-100</f>
        <v>45.542842719180982</v>
      </c>
      <c r="AV29" s="5">
        <f>SUM($AO11:AV11)/SUM($AB11:AI11)*100-100</f>
        <v>46.294937637564232</v>
      </c>
      <c r="AW29" s="5">
        <f>SUM($AO11:AW11)/SUM($AB11:AJ11)*100-100</f>
        <v>46.706864583303002</v>
      </c>
      <c r="AX29" s="5">
        <f>SUM($AO11:AX11)/SUM($AB11:AK11)*100-100</f>
        <v>43.926758520667136</v>
      </c>
      <c r="AY29" s="5">
        <f>SUM($AO11:AY11)/SUM($AB11:AL11)*100-100</f>
        <v>43.589743589743591</v>
      </c>
      <c r="AZ29" s="5">
        <f>SUM($AO11:AZ11)/SUM($AB11:AM11)*100-100</f>
        <v>44.94124390942963</v>
      </c>
      <c r="BA29" s="5"/>
      <c r="BB29" s="5">
        <f>SUM($BB11:BB11)/SUM($AO11:AO11)*100-100</f>
        <v>30.402930402930394</v>
      </c>
      <c r="BC29" s="5">
        <f>SUM($BB11:BC11)/SUM($AO11:AP11)*100-100</f>
        <v>34.201954397394161</v>
      </c>
      <c r="BD29" s="5">
        <f>SUM($BB11:BD11)/SUM($AO11:AQ11)*100-100</f>
        <v>32.241813602015128</v>
      </c>
      <c r="BE29" s="5">
        <f>SUM($BB11:BE11)/SUM($AO11:AR11)*100-100</f>
        <v>28.84748102139406</v>
      </c>
      <c r="BF29" s="5">
        <f>SUM($BB11:BF11)/SUM($AO11:AS11)*100-100</f>
        <v>33.946717934633341</v>
      </c>
      <c r="BG29" s="5">
        <f>SUM($BB11:BG11)/SUM($AO11:AT11)*100-100</f>
        <v>36.246612466124645</v>
      </c>
      <c r="BH29" s="5">
        <f>SUM($BB11:BH11)/SUM($AO11:AU11)*100-100</f>
        <v>38.431525555989055</v>
      </c>
      <c r="BI29" s="5">
        <f>SUM($BB11:BI11)/SUM($AO11:AV11)*100-100</f>
        <v>38.231360748913374</v>
      </c>
      <c r="BJ29" s="5">
        <f>SUM($BB11:BJ11)/SUM($AO11:AW11)*100-100</f>
        <v>37.501772295477082</v>
      </c>
      <c r="BK29" s="5">
        <f>SUM($BB11:BK11)/SUM($AO11:AX11)*100-100</f>
        <v>36.37737750346389</v>
      </c>
      <c r="BL29" s="5">
        <f>SUM($BB11:BL11)/SUM($AO11:AY11)*100-100</f>
        <v>34.687499999999972</v>
      </c>
      <c r="BM29" s="5">
        <f>SUM($BB11:BM11)/SUM($AO11:AZ11)*100-100</f>
        <v>31.461340715839384</v>
      </c>
      <c r="BN29" s="5"/>
      <c r="BO29" s="5">
        <f>SUM($BO11:BO11)/SUM($BB11:BB11)*100-100</f>
        <v>2.3891917837078722</v>
      </c>
      <c r="BP29" s="5">
        <f>SUM($BO11:BP11)/SUM($BB11:BC11)*100-100</f>
        <v>12.711473430825237</v>
      </c>
      <c r="BQ29" s="5">
        <f>SUM($BO11:BQ11)/SUM($BB11:BD11)*100-100</f>
        <v>14.168943445333326</v>
      </c>
      <c r="BR29" s="5">
        <f>SUM($BO11:BR11)/SUM($BB11:BE11)*100-100</f>
        <v>4.8968032763792024</v>
      </c>
      <c r="BS29" s="5">
        <f>SUM($BO11:BS11)/SUM($BB11:BF11)*100-100</f>
        <v>5.3851699290547543</v>
      </c>
      <c r="BT29" s="5">
        <f>SUM($BO11:BT11)/SUM($BB11:BG11)*100-100</f>
        <v>5.5525892962042178</v>
      </c>
      <c r="BU29" s="5">
        <f>SUM($BO11:BU11)/SUM($BB11:BH11)*100-100</f>
        <v>6.3477413886696894</v>
      </c>
      <c r="BV29" s="5">
        <f>SUM($BO11:BV11)/SUM($BB11:BI11)*100-100</f>
        <v>5.6976072601282226</v>
      </c>
      <c r="BW29" s="5">
        <f>SUM($BO11:BW11)/SUM($BB11:BJ11)*100-100</f>
        <v>1.5300939806145664</v>
      </c>
      <c r="BX29" s="5">
        <f>SUM($BO11:BX11)/SUM($BB11:BK11)*100-100</f>
        <v>3.2898191247806636</v>
      </c>
      <c r="BY29" s="5">
        <f>SUM($BO11:BY11)/SUM($BB11:BL11)*100-100</f>
        <v>3.0894628549884118</v>
      </c>
      <c r="BZ29" s="5">
        <f>SUM($BO11:BZ11)/SUM($BB11:BM11)*100-100</f>
        <v>3.8055937428550095</v>
      </c>
      <c r="CA29" s="5"/>
      <c r="CB29" s="6">
        <f>SUM($CB11:CB11)/SUM($BO11:BO11)*100-100</f>
        <v>32.773708433475292</v>
      </c>
      <c r="CC29" s="6">
        <f>SUM($CB11:CC11)/SUM($BO11:BP11)*100-100</f>
        <v>21.353922121572367</v>
      </c>
      <c r="CD29" s="6">
        <f>SUM($CB11:CD11)/SUM($BO11:BQ11)*100-100</f>
        <v>14.02837457151908</v>
      </c>
      <c r="CE29" s="5">
        <f>SUM($CB11:CE11)/SUM($BO11:BR11)*100-100</f>
        <v>16.454629854778588</v>
      </c>
      <c r="CF29" s="5">
        <f>SUM($CB11:CF11)/SUM($BO11:BS11)*100-100</f>
        <v>9.3960230100035744</v>
      </c>
      <c r="CG29" s="5">
        <f>SUM($CB11:CG11)/SUM($BO11:BT11)*100-100</f>
        <v>10.063010745581181</v>
      </c>
      <c r="CH29" s="5">
        <f>SUM($CB11:CH11)/SUM($BO11:BU11)*100-100</f>
        <v>9.5240097030675201</v>
      </c>
      <c r="CI29" s="5">
        <f>SUM($CB11:CI11)/SUM($BO11:BV11)*100-100</f>
        <v>9.0766886616592046</v>
      </c>
      <c r="CJ29" s="5">
        <f>SUM($CB11:CJ11)/SUM($BO11:BW11)*100-100</f>
        <v>10.676244231473333</v>
      </c>
      <c r="CK29" s="5">
        <f>SUM($CB11:CK11)/SUM($BO11:BX11)*100-100</f>
        <v>8.8058183431592596</v>
      </c>
      <c r="CL29" s="5">
        <f>SUM($CB11:CL11)/SUM($BO11:BY11)*100-100</f>
        <v>8.5115951254590101</v>
      </c>
      <c r="CM29" s="5">
        <f>SUM($CB11:CM11)/SUM($BO11:BZ11)*100-100</f>
        <v>7.3164603680141482</v>
      </c>
      <c r="CN29" s="5"/>
      <c r="CO29" s="32">
        <f>SUM($CO11:CO11)/SUM($CB11:CB11)*100-100</f>
        <v>9.6390770041381302E-2</v>
      </c>
      <c r="CP29" s="32">
        <f>SUM($CO11:CP11)/SUM($CB11:CC11)*100-100</f>
        <v>-3.2370789452786823</v>
      </c>
      <c r="CQ29" s="32">
        <f>SUM($CO11:CQ11)/SUM($CB11:CD11)*100-100</f>
        <v>1.8299234847057164</v>
      </c>
      <c r="CR29" s="32">
        <f>SUM($CO11:CR11)/SUM($CB11:CE11)*100-100</f>
        <v>2.2823674376611507</v>
      </c>
      <c r="CS29" s="32">
        <f>SUM($CO11:CS11)/SUM($CB11:CF11)*100-100</f>
        <v>3.1636145553730444</v>
      </c>
      <c r="CT29" s="32">
        <f>SUM($CO11:CT11)/SUM($CB11:CG11)*100-100</f>
        <v>0.75383813974406166</v>
      </c>
      <c r="CU29" s="32">
        <f>SUM($CO11:CU11)/SUM($CB11:CH11)*100-100</f>
        <v>2.5353293263928833</v>
      </c>
      <c r="CV29" s="32">
        <f>SUM($CO11:CV11)/SUM($CB11:CI11)*100-100</f>
        <v>0.94520871248080596</v>
      </c>
      <c r="CW29" s="32">
        <f>SUM($CO11:CW11)/SUM($CB11:CJ11)*100-100</f>
        <v>1.7798760150502488</v>
      </c>
      <c r="CX29" s="32">
        <f>SUM($CO11:CX11)/SUM($CB11:CK11)*100-100</f>
        <v>2.7327095092357467</v>
      </c>
      <c r="CY29" s="32">
        <f>SUM($CO11:CY11)/SUM($CB11:CL11)*100-100</f>
        <v>2.518254041741514</v>
      </c>
      <c r="CZ29" s="32">
        <f>SUM($CO11:CZ11)/SUM($CB11:CM11)*100-100</f>
        <v>2.573291351515536</v>
      </c>
      <c r="DB29" s="32">
        <f>SUM($DB11:DB11)/SUM($CO11:CO11)*100-100</f>
        <v>-12.78481692036479</v>
      </c>
      <c r="DC29" s="32">
        <f>SUM($DB11:DC11)/SUM($CO11:CP11)*100-100</f>
        <v>-16.283193874093783</v>
      </c>
      <c r="DD29" s="32">
        <f>SUM($DB11:DD11)/SUM($CO11:CQ11)*100-100</f>
        <v>-14.480079979516589</v>
      </c>
      <c r="DE29" s="32">
        <f>SUM($DB11:DE11)/SUM($CO11:CR11)*100-100</f>
        <v>-9.4193579362874686</v>
      </c>
      <c r="DF29" s="32">
        <f>SUM($DB11:DF11)/SUM($CO11:CS11)*100-100</f>
        <v>-4.71399371633008</v>
      </c>
      <c r="DG29" s="32">
        <f>SUM($DB11:DG11)/SUM($CO11:CT11)*100-100</f>
        <v>0.82652258669877199</v>
      </c>
      <c r="DH29" s="32">
        <f>SUM($DB11:DH11)/SUM($CO11:CU11)*100-100</f>
        <v>1.5245363026082259E-2</v>
      </c>
      <c r="DI29" s="32">
        <f>SUM($DB11:DI11)/SUM($CO11:CV11)*100-100</f>
        <v>0.58608242832353596</v>
      </c>
      <c r="DJ29" s="32">
        <f>SUM($DB11:DJ11)/SUM($CO11:CW11)*100-100</f>
        <v>-1.1681657171022835</v>
      </c>
      <c r="DK29" s="32">
        <f>SUM($DB11:DK11)/SUM($CO11:CX11)*100-100</f>
        <v>-2.0838408140490827</v>
      </c>
      <c r="DL29" s="32">
        <f>SUM($DB11:DL11)/SUM($CO11:CY11)*100-100</f>
        <v>-2.7607880166257956</v>
      </c>
      <c r="DM29" s="32">
        <f>SUM($DB11:DM11)/SUM($CO11:CZ11)*100-100</f>
        <v>-2.096839588862224</v>
      </c>
      <c r="DO29" s="32">
        <f>SUM($DO11:DO11)/SUM($DB11:DB11)*100-100</f>
        <v>6.1538461538461604</v>
      </c>
      <c r="DP29" s="32">
        <f>SUM($DO11:DP11)/SUM($DB11:DC11)*100-100</f>
        <v>24.808324205914573</v>
      </c>
      <c r="DQ29" s="32">
        <f>SUM($DO11:DQ11)/SUM($DB11:DD11)*100-100</f>
        <v>27.822580645161281</v>
      </c>
      <c r="DR29" s="32">
        <f>SUM($DO11:DR11)/SUM($DB11:DE11)*100-100</f>
        <v>23.308092759110238</v>
      </c>
      <c r="DS29" s="32">
        <f>SUM($DO11:DS11)/SUM($DB11:DF11)*100-100</f>
        <v>19.938483806766754</v>
      </c>
      <c r="DT29" s="32">
        <f>SUM($DO11:DT11)/SUM($DB11:DG11)*100-100</f>
        <v>15.028089887640434</v>
      </c>
      <c r="DU29" s="32">
        <f>SUM($DO11:DU11)/SUM($DB11:DH11)*100-100</f>
        <v>14.594148183105233</v>
      </c>
      <c r="DV29" s="32">
        <f>SUM($DO11:DV11)/SUM($DB11:DI11)*100-100</f>
        <v>17.087224403646999</v>
      </c>
      <c r="DW29" s="32">
        <f>SUM($DO11:DW11)/SUM($DB11:DJ11)*100-100</f>
        <v>18.135279764867903</v>
      </c>
      <c r="DX29" s="32">
        <f>SUM($DO11:DX11)/SUM($DB11:DK11)*100-100</f>
        <v>19.101453147205632</v>
      </c>
      <c r="DY29" s="32">
        <f>SUM($DO11:DY11)/SUM($DB11:DL11)*100-100</f>
        <v>20.942606283442473</v>
      </c>
      <c r="DZ29" s="32">
        <f>SUM($DO11:DZ11)/SUM($DB11:DM11)*100-100</f>
        <v>19.863755066763062</v>
      </c>
      <c r="EB29" s="32">
        <f>SUM($EB11:EB11)/SUM($DO11:DO11)*100-100</f>
        <v>35.340022296544021</v>
      </c>
      <c r="EC29" s="32">
        <f>SUM($EB11:EC11)/SUM($DO11:DP11)*100-100</f>
        <v>20.315928038613464</v>
      </c>
      <c r="ED29" s="32">
        <f>SUM($EB11:ED11)/SUM($DO11:DQ11)*100-100</f>
        <v>16.798107255520534</v>
      </c>
      <c r="EE29" s="32">
        <f>SUM($EB11:EE11)/SUM($DO11:DR11)*100-100</f>
        <v>17.15601611974671</v>
      </c>
      <c r="EF29" s="32">
        <f>SUM($EB11:EF11)/SUM($DO11:DS11)*100-100</f>
        <v>21.692562980841785</v>
      </c>
      <c r="EG29" s="32">
        <f>SUM($EB11:EG11)/SUM($DO11:DT11)*100-100</f>
        <v>21.221001221001259</v>
      </c>
      <c r="EH29" s="32">
        <f>SUM($EB11:EH11)/SUM($DO11:DU11)*100-100</f>
        <v>21.89848656439824</v>
      </c>
    </row>
    <row r="30" spans="1:148">
      <c r="A30" s="4" t="s">
        <v>41</v>
      </c>
      <c r="B30" s="229">
        <v>71</v>
      </c>
      <c r="C30" s="229">
        <v>66.2</v>
      </c>
      <c r="D30" s="229">
        <v>52.9</v>
      </c>
      <c r="E30" s="229">
        <v>48.8</v>
      </c>
      <c r="F30" s="229">
        <v>45.3</v>
      </c>
      <c r="G30" s="229">
        <v>43.9</v>
      </c>
      <c r="H30" s="229">
        <v>44.5</v>
      </c>
      <c r="I30" s="229">
        <v>46.7</v>
      </c>
      <c r="J30" s="227">
        <v>39.128229212240328</v>
      </c>
      <c r="K30" s="229">
        <v>46.2</v>
      </c>
      <c r="L30" s="228">
        <v>47.2</v>
      </c>
      <c r="M30" s="15">
        <v>49.557934525001457</v>
      </c>
      <c r="N30" s="15"/>
      <c r="O30" s="15">
        <v>37.4</v>
      </c>
      <c r="P30" s="5">
        <f>SUM(O12:P12)/SUM(B12:C12)*100-100</f>
        <v>30.026020967217221</v>
      </c>
      <c r="Q30" s="5">
        <f>SUM(O12:Q12)/SUM(B12:D12)*100-100</f>
        <v>31.29602083624917</v>
      </c>
      <c r="R30" s="5">
        <f>SUM(O12:R12)/SUM(B12:E12)*100-100</f>
        <v>36.934248816686363</v>
      </c>
      <c r="S30" s="5">
        <f>SUM(O12:S12)/SUM(B12:F12)*100-100</f>
        <v>40.013064890483804</v>
      </c>
      <c r="T30" s="5">
        <f>SUM(O12:T12)/SUM(B12:G12)*100-100</f>
        <v>39.923030198147899</v>
      </c>
      <c r="U30" s="5">
        <f>SUM(O12:U12)/SUM(B12:H12)*100-100</f>
        <v>44.796468417657223</v>
      </c>
      <c r="V30" s="5">
        <f>SUM(O12:V12)/SUM(B12:I12)*100-100</f>
        <v>39.16653171446228</v>
      </c>
      <c r="W30" s="6">
        <f>SUM(O12:W12)/SUM(B12:J12)*100-100</f>
        <v>42.833057892299593</v>
      </c>
      <c r="X30" s="32">
        <f>SUM(O12:X12)/SUM(B12:K12)*100-100</f>
        <v>43.34031811062539</v>
      </c>
      <c r="Y30" s="32">
        <f>SUM(O12:Y12)/SUM(B12:L12)*100-100</f>
        <v>39.413429499290231</v>
      </c>
      <c r="Z30" s="226">
        <f>SUM(O12:Z12)/SUM(B12:M12)*100-100</f>
        <v>35.223117785709832</v>
      </c>
      <c r="AB30" s="32">
        <f>SUM(AB12)/SUM(O12)*100-100</f>
        <v>-18.83702910688956</v>
      </c>
      <c r="AC30" s="32">
        <f>SUM(AB12:AC12)/SUM(O12:P12)*100-100</f>
        <v>-20.509496638545528</v>
      </c>
      <c r="AD30" s="32">
        <f>SUM(AB12:AD12)/SUM(O12:Q12)*100-100</f>
        <v>-21.91004603942865</v>
      </c>
      <c r="AE30" s="32">
        <f>SUM(AB12:AE12)/SUM(O12:R12)*100-100</f>
        <v>-25.04823420853954</v>
      </c>
      <c r="AF30" s="32">
        <f>SUM(AB12:AF12)/SUM(O12:S12)*100-100</f>
        <v>-29.91014120667522</v>
      </c>
      <c r="AG30" s="32">
        <f>SUM(AB12:AG12)/SUM(O12:T12)*100-100</f>
        <v>-27.537450722733254</v>
      </c>
      <c r="AH30" s="32">
        <f>SUM(AB12:AH12)/SUM(O12:U12)*100-100</f>
        <v>-29.46466046588057</v>
      </c>
      <c r="AI30" s="32">
        <f>SUM(AB12:AI12)/SUM(O12:V12)*100-100</f>
        <v>-26.981216792636388</v>
      </c>
      <c r="AJ30" s="32">
        <f>SUM(AB12:AJ12)/SUM(O12:W12)*100-100</f>
        <v>-27.886429818818328</v>
      </c>
      <c r="AK30" s="32">
        <f>SUM(AB12:AK12)/SUM(O12:X12)*100-100</f>
        <v>-28.456099326318125</v>
      </c>
      <c r="AL30" s="5">
        <v>-26.3</v>
      </c>
      <c r="AM30" s="5">
        <f>SUM(AB12:AM12)/SUM(O12:Z12)*100-100</f>
        <v>-25.258443232972155</v>
      </c>
      <c r="AN30" s="5"/>
      <c r="AO30" s="5">
        <f>SUM(AO12)/SUM(AB12)*100-100</f>
        <v>16.052068486348787</v>
      </c>
      <c r="AP30" s="5">
        <f>SUM(AO12:AP12)/SUM(AB12:AC12)*100-100</f>
        <v>19.573143116466866</v>
      </c>
      <c r="AQ30" s="5">
        <f>SUM(AO12:AQ12)/SUM(AB12:AD12)*100-100</f>
        <v>23.5374149659864</v>
      </c>
      <c r="AR30" s="5">
        <f>SUM(AO12:AR12)/SUM(AB12:AE12)*100-100</f>
        <v>24.01790710688303</v>
      </c>
      <c r="AS30" s="5">
        <f>SUM(AO12:AS12)/SUM(AB12:AF12)*100-100</f>
        <v>29.285714285714278</v>
      </c>
      <c r="AT30" s="5">
        <f>SUM($AO12:AT12)/SUM($AB12:AG12)*100-100</f>
        <v>25.054403017554037</v>
      </c>
      <c r="AU30" s="5">
        <f>SUM($AO12:AU12)/SUM($AB12:AH12)*100-100</f>
        <v>22.718516734890429</v>
      </c>
      <c r="AV30" s="5">
        <f>SUM($AO12:AV12)/SUM($AB12:AI12)*100-100</f>
        <v>20.963361516781958</v>
      </c>
      <c r="AW30" s="5">
        <f>SUM($AO12:AW12)/SUM($AB12:AJ12)*100-100</f>
        <v>18.955631379308841</v>
      </c>
      <c r="AX30" s="5">
        <f>SUM($AO12:AX12)/SUM($AB12:AK12)*100-100</f>
        <v>16.789883268482498</v>
      </c>
      <c r="AY30" s="5">
        <f>SUM($AO12:AY12)/SUM($AB12:AL12)*100-100</f>
        <v>14.374915162209859</v>
      </c>
      <c r="AZ30" s="5">
        <f>SUM($AO12:AZ12)/SUM($AB12:AM12)*100-100</f>
        <v>14.491086831512362</v>
      </c>
      <c r="BA30" s="5"/>
      <c r="BB30" s="5">
        <f>SUM($BB12:BB12)/SUM($AO12:AO12)*100-100</f>
        <v>-1.000384763370505</v>
      </c>
      <c r="BC30" s="5">
        <f>SUM($BB12:BC12)/SUM($AO12:AP12)*100-100</f>
        <v>3.1595270401240754</v>
      </c>
      <c r="BD30" s="5">
        <f>SUM($BB12:BD12)/SUM($AO12:AQ12)*100-100</f>
        <v>6.5834557023984246</v>
      </c>
      <c r="BE30" s="5">
        <f>SUM($BB12:BE12)/SUM($AO12:AR12)*100-100</f>
        <v>9.1507986643804884</v>
      </c>
      <c r="BF30" s="5">
        <f>SUM($BB12:BF12)/SUM($AO12:AS12)*100-100</f>
        <v>11.148887944468072</v>
      </c>
      <c r="BG30" s="5">
        <f>SUM($BB12:BG12)/SUM($AO12:AT12)*100-100</f>
        <v>9.8955916473317842</v>
      </c>
      <c r="BH30" s="5">
        <f>SUM($BB12:BH12)/SUM($AO12:AU12)*100-100</f>
        <v>7.8485234965172168</v>
      </c>
      <c r="BI30" s="5">
        <f>SUM($BB12:BI12)/SUM($AO12:AV12)*100-100</f>
        <v>10.014403117851401</v>
      </c>
      <c r="BJ30" s="5">
        <f>SUM($BB12:BJ12)/SUM($AO12:AW12)*100-100</f>
        <v>11.238052568697725</v>
      </c>
      <c r="BK30" s="5">
        <f>SUM($BB12:BK12)/SUM($AO12:AX12)*100-100</f>
        <v>12.297184740962848</v>
      </c>
      <c r="BL30" s="5">
        <f>SUM($BB12:BL12)/SUM($AO12:AY12)*100-100</f>
        <v>11.292428198433413</v>
      </c>
      <c r="BM30" s="5">
        <f>SUM($BB12:BM12)/SUM($AO12:AZ12)*100-100</f>
        <v>9.7385603637420957</v>
      </c>
      <c r="BN30" s="5"/>
      <c r="BO30" s="5">
        <f>SUM($BO12:BO12)/SUM($BB12:BB12)*100-100</f>
        <v>6.508691095996852</v>
      </c>
      <c r="BP30" s="5">
        <f>SUM($BO12:BP12)/SUM($BB12:BC12)*100-100</f>
        <v>11.025376134911653</v>
      </c>
      <c r="BQ30" s="5">
        <f>SUM($BO12:BQ12)/SUM($BB12:BD12)*100-100</f>
        <v>9.4054587669345295</v>
      </c>
      <c r="BR30" s="5">
        <f>SUM($BO12:BR12)/SUM($BB12:BE12)*100-100</f>
        <v>8.1860853476643172</v>
      </c>
      <c r="BS30" s="5">
        <f>SUM($BO12:BS12)/SUM($BB12:BF12)*100-100</f>
        <v>6.6842382666326756</v>
      </c>
      <c r="BT30" s="5">
        <f>SUM($BO12:BT12)/SUM($BB12:BG12)*100-100</f>
        <v>6.2819746674759784</v>
      </c>
      <c r="BU30" s="5">
        <f>SUM($BO12:BU12)/SUM($BB12:BH12)*100-100</f>
        <v>6.0463571750204608</v>
      </c>
      <c r="BV30" s="5">
        <f>SUM($BO12:BV12)/SUM($BB12:BI12)*100-100</f>
        <v>3.2638876961879077</v>
      </c>
      <c r="BW30" s="5">
        <f>SUM($BO12:BW12)/SUM($BB12:BJ12)*100-100</f>
        <v>0.84220902430016054</v>
      </c>
      <c r="BX30" s="5">
        <f>SUM($BO12:BX12)/SUM($BB12:BK12)*100-100</f>
        <v>1.8133136254672593</v>
      </c>
      <c r="BY30" s="5">
        <f>SUM($BO12:BY12)/SUM($BB12:BL12)*100-100</f>
        <v>2.1836693615035756</v>
      </c>
      <c r="BZ30" s="5">
        <f>SUM($BO12:BZ12)/SUM($BB12:BM12)*100-100</f>
        <v>2.6481519232529394</v>
      </c>
      <c r="CA30" s="5"/>
      <c r="CB30" s="6">
        <f>SUM($CB12:CB12)/SUM($BO12:BO12)*100-100</f>
        <v>12.544036277330676</v>
      </c>
      <c r="CC30" s="6">
        <f>SUM($CB12:CC12)/SUM($BO12:BP12)*100-100</f>
        <v>9.0126275929440993</v>
      </c>
      <c r="CD30" s="6">
        <f>SUM($CB12:CD12)/SUM($BO12:BQ12)*100-100</f>
        <v>2.0531232843878513</v>
      </c>
      <c r="CE30" s="5">
        <f>SUM($CB12:CE12)/SUM($BO12:BR12)*100-100</f>
        <v>1.529502027390933</v>
      </c>
      <c r="CF30" s="5">
        <f>SUM($CB12:CF12)/SUM($BO12:BS12)*100-100</f>
        <v>-0.49856767152509462</v>
      </c>
      <c r="CG30" s="5">
        <f>SUM($CB12:CG12)/SUM($BO12:BT12)*100-100</f>
        <v>-0.94369881943482881</v>
      </c>
      <c r="CH30" s="5">
        <f>SUM($CB12:CH12)/SUM($BO12:BU12)*100-100</f>
        <v>2.4051573803021995</v>
      </c>
      <c r="CI30" s="5">
        <f>SUM($CB12:CI12)/SUM($BO12:BV12)*100-100</f>
        <v>1.7017139004531288</v>
      </c>
      <c r="CJ30" s="5">
        <f>SUM($CB12:CJ12)/SUM($BO12:BW12)*100-100</f>
        <v>3.3161545648177793</v>
      </c>
      <c r="CK30" s="5">
        <f>SUM($CB12:CK12)/SUM($BO12:BX12)*100-100</f>
        <v>3.8393187163586902</v>
      </c>
      <c r="CL30" s="5">
        <f>SUM($CB12:CL12)/SUM($BO12:BY12)*100-100</f>
        <v>4.8041772246540546</v>
      </c>
      <c r="CM30" s="5">
        <f>SUM($CB12:CM12)/SUM($BO12:BZ12)*100-100</f>
        <v>5.6018782425372677</v>
      </c>
      <c r="CN30" s="5"/>
      <c r="CO30" s="32">
        <f>SUM($CO12:CO12)/SUM($CB12:CB12)*100-100</f>
        <v>-4.400930668684623</v>
      </c>
      <c r="CP30" s="32">
        <f>SUM($CO12:CP12)/SUM($CB12:CC12)*100-100</f>
        <v>-6.6680576889220902</v>
      </c>
      <c r="CQ30" s="32">
        <f>SUM($CO12:CQ12)/SUM($CB12:CD12)*100-100</f>
        <v>0.21008010190787729</v>
      </c>
      <c r="CR30" s="32">
        <f>SUM($CO12:CR12)/SUM($CB12:CE12)*100-100</f>
        <v>1.3413227487579604</v>
      </c>
      <c r="CS30" s="32">
        <f>SUM($CO12:CS12)/SUM($CB12:CF12)*100-100</f>
        <v>1.9880862745540497</v>
      </c>
      <c r="CT30" s="32">
        <f>SUM($CO12:CT12)/SUM($CB12:CG12)*100-100</f>
        <v>1.1105898188513237</v>
      </c>
      <c r="CU30" s="32">
        <f>SUM($CO12:CU12)/SUM($CB12:CH12)*100-100</f>
        <v>2.2781629999141728</v>
      </c>
      <c r="CV30" s="32">
        <f>SUM($CO12:CV12)/SUM($CB12:CI12)*100-100</f>
        <v>2.2019036377917587</v>
      </c>
      <c r="CW30" s="32">
        <f>SUM($CO12:CW12)/SUM($CB12:CJ12)*100-100</f>
        <v>2.8092767098659266</v>
      </c>
      <c r="CX30" s="32">
        <f>SUM($CO12:CX12)/SUM($CB12:CK12)*100-100</f>
        <v>1.7681115805468579</v>
      </c>
      <c r="CY30" s="32">
        <f>SUM($CO12:CY12)/SUM($CB12:CL12)*100-100</f>
        <v>-0.16381178502868465</v>
      </c>
      <c r="CZ30" s="32">
        <f>SUM($CO12:CZ12)/SUM($CB12:CM12)*100-100</f>
        <v>-2.18516381700762</v>
      </c>
      <c r="DB30" s="32">
        <f>SUM($DB12:DB12)/SUM($CO12:CO12)*100-100</f>
        <v>-33.266078774318743</v>
      </c>
      <c r="DC30" s="32">
        <f>SUM($DB12:DC12)/SUM($CO12:CP12)*100-100</f>
        <v>-26.415384021680026</v>
      </c>
      <c r="DD30" s="32">
        <f>SUM($DB12:DD12)/SUM($CO12:CQ12)*100-100</f>
        <v>-24.204590278054255</v>
      </c>
      <c r="DE30" s="32">
        <f>SUM($DB12:DE12)/SUM($CO12:CR12)*100-100</f>
        <v>-26.463945846834719</v>
      </c>
      <c r="DF30" s="32">
        <f>SUM($DB12:DF12)/SUM($CO12:CS12)*100-100</f>
        <v>-26.848055076966361</v>
      </c>
      <c r="DG30" s="32">
        <f>SUM($DB12:DG12)/SUM($CO12:CT12)*100-100</f>
        <v>-23.974966280203418</v>
      </c>
      <c r="DH30" s="32">
        <f>SUM($DB12:DH12)/SUM($CO12:CU12)*100-100</f>
        <v>-26.570680006519225</v>
      </c>
      <c r="DI30" s="32">
        <f>SUM($DB12:DI12)/SUM($CO12:CV12)*100-100</f>
        <v>-26.203318598500175</v>
      </c>
      <c r="DJ30" s="32">
        <f>SUM($DB12:DJ12)/SUM($CO12:CW12)*100-100</f>
        <v>-26.530882940055804</v>
      </c>
      <c r="DK30" s="32">
        <f>SUM($DB12:DK12)/SUM($CO12:CX12)*100-100</f>
        <v>-26.640143980924307</v>
      </c>
      <c r="DL30" s="32">
        <f>SUM($DB12:DL12)/SUM($CO12:CY12)*100-100</f>
        <v>-26.410159330998894</v>
      </c>
      <c r="DM30" s="32">
        <f>SUM($DB12:DM12)/SUM($CO12:CZ12)*100-100</f>
        <v>-26.46172456823588</v>
      </c>
      <c r="DO30" s="32">
        <f>SUM($DO12:DO12)/SUM($DB12:DB12)*100-100</f>
        <v>-20.36181249806242</v>
      </c>
      <c r="DP30" s="32">
        <f>SUM($DO12:DP12)/SUM($DB12:DC12)*100-100</f>
        <v>-10.799802068694106</v>
      </c>
      <c r="DQ30" s="32">
        <f>SUM($DO12:DQ12)/SUM($DB12:DD12)*100-100</f>
        <v>-7.6962733554963592</v>
      </c>
      <c r="DR30" s="32">
        <f>SUM($DO12:DR12)/SUM($DB12:DE12)*100-100</f>
        <v>-3.8228838105288645</v>
      </c>
      <c r="DS30" s="32">
        <f>SUM($DO12:DS12)/SUM($DB12:DF12)*100-100</f>
        <v>-3.3754539535114247</v>
      </c>
      <c r="DT30" s="32">
        <f>SUM($DO12:DT12)/SUM($DB12:DG12)*100-100</f>
        <v>-4.9273424971452755</v>
      </c>
      <c r="DU30" s="32">
        <f>SUM($DO12:DU12)/SUM($DB12:DH12)*100-100</f>
        <v>-5.6073663507158784</v>
      </c>
      <c r="DV30" s="32">
        <f>SUM($DO12:DV12)/SUM($DB12:DI12)*100-100</f>
        <v>-3.1281908583191438</v>
      </c>
      <c r="DW30" s="32">
        <f>SUM($DO12:DW12)/SUM($DB12:DJ12)*100-100</f>
        <v>-1.7120695488722646</v>
      </c>
      <c r="DX30" s="32">
        <f>SUM($DO12:DX12)/SUM($DB12:DK12)*100-100</f>
        <v>-1.3675034792011758</v>
      </c>
      <c r="DY30" s="32">
        <f>SUM($DO12:DY12)/SUM($DB12:DL12)*100-100</f>
        <v>0.55238075617991456</v>
      </c>
      <c r="DZ30" s="32">
        <f>SUM($DO12:DZ12)/SUM($DB12:DM12)*100-100</f>
        <v>1.7217689961217246</v>
      </c>
      <c r="EB30" s="32">
        <f>SUM($EB12:EB12)/SUM($DO12:DO12)*100-100</f>
        <v>40.714741544352279</v>
      </c>
      <c r="EC30" s="32">
        <f>SUM($EB12:EC12)/SUM($DO12:DP12)*100-100</f>
        <v>25.088697415103908</v>
      </c>
      <c r="ED30" s="32">
        <f>SUM($EB12:ED12)/SUM($DO12:DQ12)*100-100</f>
        <v>18.304488119683199</v>
      </c>
      <c r="EE30" s="32">
        <f>SUM($EB12:EE12)/SUM($DO12:DR12)*100-100</f>
        <v>13.904641881957573</v>
      </c>
      <c r="EF30" s="32">
        <f>SUM($EB12:EF12)/SUM($DO12:DS12)*100-100</f>
        <v>24.100599600266463</v>
      </c>
      <c r="EG30" s="32">
        <f>SUM($EB12:EG12)/SUM($DO12:DT12)*100-100</f>
        <v>24.929683748370721</v>
      </c>
      <c r="EH30" s="32">
        <f>SUM($EB12:EH12)/SUM($DO12:DU12)*100-100</f>
        <v>27.708850289495459</v>
      </c>
    </row>
    <row r="31" spans="1:148">
      <c r="A31" t="s">
        <v>57</v>
      </c>
      <c r="B31" s="229"/>
      <c r="C31" s="229"/>
      <c r="D31" s="229">
        <v>445.55171083926666</v>
      </c>
      <c r="E31" s="229"/>
      <c r="F31" s="229"/>
      <c r="G31" s="229">
        <v>235.4936431127108</v>
      </c>
      <c r="H31" s="229"/>
      <c r="I31" s="229"/>
      <c r="J31" s="227">
        <v>320.24421593830334</v>
      </c>
      <c r="K31" s="229"/>
      <c r="L31" s="228"/>
      <c r="M31" s="15">
        <v>387.79988047468629</v>
      </c>
      <c r="N31" s="15"/>
      <c r="Q31" s="5">
        <f>Q13/D13*100-100</f>
        <v>59.418986674960053</v>
      </c>
      <c r="T31" s="32">
        <f>SUM(Q13:T13)/SUM(D13:G13)*100-100</f>
        <v>96.07493267482721</v>
      </c>
      <c r="W31" s="32">
        <f>SUM(Q13:W13)/SUM(D13:J13)*100-100</f>
        <v>114.2674584804459</v>
      </c>
      <c r="Z31" s="32">
        <f>SUM(Q13:Z13)/SUM(D13:M13)*100-100</f>
        <v>122.64810404791277</v>
      </c>
      <c r="AD31" s="5">
        <f>SUM(AD13)/SUM(Q13)*100-100</f>
        <v>-15.1495913031833</v>
      </c>
      <c r="AG31" s="5">
        <f>SUM(AD13:AG13)/SUM(Q13:T13)*100-100</f>
        <v>-10.506438706124342</v>
      </c>
      <c r="AJ31" s="5">
        <f>SUM(AD13:AJ13)/SUM(Q13:W13)*100-100</f>
        <v>-17.047992794239917</v>
      </c>
      <c r="AM31" s="5">
        <f>SUM(AD13:AM13)/SUM(Q13:Z13)*100-100</f>
        <v>-12.901811942495897</v>
      </c>
      <c r="AN31" s="32"/>
      <c r="AQ31" s="5">
        <f>SUM(AQ13)/SUM(AD13)*100-100</f>
        <v>17.799715642108382</v>
      </c>
      <c r="AT31" s="5">
        <f>SUM(AQ13:AT13)/SUM(AD13:AG13)*100-100</f>
        <v>13.10441769702733</v>
      </c>
      <c r="AW31" s="5">
        <f>SUM(AQ13:AW13)/SUM(AD13:AJ13)*100-100</f>
        <v>2.458040343114007</v>
      </c>
      <c r="AZ31" s="5">
        <f>SUM(AQ13:AZ13)/SUM(AD13:AM13)*100-100</f>
        <v>-13.3039308215061</v>
      </c>
      <c r="BD31" s="5">
        <f>SUM(BD13)/SUM(AQ13)*100-100</f>
        <v>-5.998132766106238</v>
      </c>
      <c r="BG31" s="5">
        <f>SUM(BD13:BG13)/SUM(AQ13:AT13)*100-100</f>
        <v>-5.9835762093166238</v>
      </c>
      <c r="BJ31" s="5">
        <f>SUM(BD13:BJ13)/SUM(AQ13:AW13)*100-100</f>
        <v>-17.803598826113515</v>
      </c>
      <c r="BM31" s="5">
        <f>SUM(BD13:BM13)/SUM(AQ13:AZ13)*100-100</f>
        <v>-19.670636061740211</v>
      </c>
      <c r="BQ31" s="6">
        <f>SUM(BQ13)/SUM(BD13)*100-100</f>
        <v>3.830936717177579</v>
      </c>
      <c r="BR31" s="135"/>
      <c r="BS31" s="135"/>
      <c r="BT31" s="6">
        <f>SUM($BO13:BT13)/SUM($BB13:BG13)*100-100</f>
        <v>3.0511068521617943</v>
      </c>
      <c r="BU31" s="135"/>
      <c r="BV31" s="135"/>
      <c r="BW31" s="6">
        <f>SUM($BO13:BW13)/SUM($BB13:BJ13)*100-100</f>
        <v>-4.5428422233679981</v>
      </c>
      <c r="BX31" s="135"/>
      <c r="BY31" s="135"/>
      <c r="BZ31" s="6">
        <f>SUM($BO13:BZ13)/SUM($BB13:BM13)*100-100</f>
        <v>-9.5967622600454661E-2</v>
      </c>
      <c r="CD31" s="6">
        <f>SUM($CD13:CD13)/SUM($BQ13:BQ13)*100-100</f>
        <v>-12.404242871386998</v>
      </c>
      <c r="CE31" s="135"/>
      <c r="CF31" s="135"/>
      <c r="CG31" s="6">
        <f>SUM($CD13:CG13)/SUM($BQ13:BT13)*100-100</f>
        <v>-26.917226552621557</v>
      </c>
      <c r="CH31" s="135"/>
      <c r="CI31" s="135"/>
      <c r="CJ31" s="6">
        <f>SUM($CD13:CJ13)/SUM($BQ13:BW13)*100-100</f>
        <v>-29.042409449531647</v>
      </c>
      <c r="CK31" s="135"/>
      <c r="CL31" s="135"/>
      <c r="CM31" s="6">
        <f>SUM($CD13:CM13)/SUM($BQ13:BZ13)*100-100</f>
        <v>-20.151787472186427</v>
      </c>
      <c r="CQ31" s="6">
        <f>SUM($CQ13:CQ13)/SUM($CD13:CD13)*100-100</f>
        <v>37.923116682557065</v>
      </c>
      <c r="CT31" s="6">
        <f>SUM($CQ13:CT13)/SUM($CD13:CG13)*100-100</f>
        <v>21.807662167659217</v>
      </c>
      <c r="CW31" s="6">
        <f>SUM($CQ13:CW13)/SUM($CD13:CJ13)*100-100</f>
        <v>38.84692484571238</v>
      </c>
      <c r="CZ31" s="6">
        <f>SUM($CQ13:CZ13)/SUM($CD13:CM13)*100-100</f>
        <v>0.52194806737404065</v>
      </c>
      <c r="DD31" s="6">
        <f>SUM($DD13:DD13)/SUM($CQ13:CQ13)*100-100</f>
        <v>-46.270097113457055</v>
      </c>
      <c r="DE31" s="5"/>
      <c r="DG31" s="6">
        <f>SUM($DD13:DG13)/SUM($CQ13:CT13)*100-100</f>
        <v>-63.159817060806958</v>
      </c>
      <c r="DJ31" s="32">
        <f>SUM($DD13:DJ13)/SUM($CQ13:CW13)*100-100</f>
        <v>-76.569490861971076</v>
      </c>
      <c r="DM31" s="32">
        <f>SUM($DD13:DM13)/SUM($CQ13:CZ13)*100-100</f>
        <v>-67.117499353596685</v>
      </c>
      <c r="DQ31" s="32">
        <f>SUM($DQ13:DQ13)/SUM($DD13:DD13)*100-100</f>
        <v>-54.722872755659644</v>
      </c>
      <c r="DT31" s="32">
        <f>SUM($DQ13:DT13)/SUM($DD13:DG13)*100-100</f>
        <v>-35.485232067510537</v>
      </c>
      <c r="DW31" s="32">
        <f>SUM($DQ13:DW13)/SUM($DD13:DJ13)*100-100</f>
        <v>-45.253505933117587</v>
      </c>
      <c r="DZ31" s="32">
        <f>SUM($DQ13:DZ13)/SUM($DD13:DM13)*100-100</f>
        <v>2.2564469914040188</v>
      </c>
      <c r="ED31" s="32">
        <f>SUM($ED13:ED13)/SUM($DQ13:DQ13)*100-100</f>
        <v>-25.664091160580213</v>
      </c>
    </row>
    <row r="32" spans="1:148">
      <c r="A32" s="1" t="s">
        <v>58</v>
      </c>
      <c r="B32" s="229"/>
      <c r="C32" s="229"/>
      <c r="D32" s="225">
        <v>18.729016389456746</v>
      </c>
      <c r="E32" s="229"/>
      <c r="F32" s="229"/>
      <c r="G32" s="229">
        <v>38.383107431445751</v>
      </c>
      <c r="H32" s="229"/>
      <c r="I32" s="229"/>
      <c r="J32" s="227">
        <v>41.647320326006422</v>
      </c>
      <c r="K32" s="229"/>
      <c r="L32" s="228"/>
      <c r="M32" s="15">
        <v>33.823762518913469</v>
      </c>
      <c r="N32" s="15"/>
      <c r="Q32" s="5">
        <f>Q14/D14*100-100</f>
        <v>17.786520742254154</v>
      </c>
      <c r="T32" s="32">
        <f>SUM(Q14:T14)/SUM(D14:G14)*100-100</f>
        <v>21.085479852650806</v>
      </c>
      <c r="W32" s="32">
        <f>SUM(Q14:W14)/SUM(D14:J14)*100-100</f>
        <v>21.393078536259964</v>
      </c>
      <c r="Z32" s="32">
        <f>SUM(Q14:Z14)/SUM(D14:M14)*100-100</f>
        <v>9.6343328108484201</v>
      </c>
      <c r="AD32" s="5">
        <f>SUM(AD14)/SUM(Q14)*100-100</f>
        <v>-26.280648817814722</v>
      </c>
      <c r="AG32" s="5">
        <f>SUM(AD14:AG14)/SUM(Q14:T14)*100-100</f>
        <v>-27.798411857587965</v>
      </c>
      <c r="AJ32" s="5">
        <f>SUM(AD14:AJ14)/SUM(Q14:W14)*100-100</f>
        <v>-30.769124494929969</v>
      </c>
      <c r="AM32" s="5">
        <f>SUM(AD14:AM14)/SUM(Q14:Z14)*100-100</f>
        <v>-27.735445817805015</v>
      </c>
      <c r="AN32" s="32"/>
      <c r="AQ32" s="5">
        <f>SUM(AQ14)/SUM(AD14)*100-100</f>
        <v>7.3717106757509328</v>
      </c>
      <c r="AT32" s="5">
        <f>SUM(AQ14:AT14)/SUM(AD14:AG14)*100-100</f>
        <v>3.4317545033028836</v>
      </c>
      <c r="AW32" s="5">
        <f>SUM(AQ14:AW14)/SUM(AD14:AJ14)*100-100</f>
        <v>4.3361131440874772</v>
      </c>
      <c r="AZ32" s="5">
        <f>SUM(AQ14:AZ14)/SUM(AD14:AM14)*100-100</f>
        <v>2.9466173177577559</v>
      </c>
      <c r="BD32" s="5">
        <f>SUM(BD14)/SUM(AQ14)*100-100</f>
        <v>2.7036745442936336</v>
      </c>
      <c r="BG32" s="5">
        <f>SUM(BD14:BG14)/SUM(AQ14:AT14)*100-100</f>
        <v>9.8719022898308992</v>
      </c>
      <c r="BJ32" s="5">
        <f>SUM(BD14:BJ14)/SUM(AQ14:AW14)*100-100</f>
        <v>13.207882445245914</v>
      </c>
      <c r="BM32" s="5">
        <f>SUM(BD14:BM14)/SUM(AQ14:AZ14)*100-100</f>
        <v>14.01571607466127</v>
      </c>
      <c r="BQ32" s="6">
        <f>SUM(BQ14)/SUM(BD14)*100-100</f>
        <v>15.122802539496121</v>
      </c>
      <c r="BR32" s="135"/>
      <c r="BS32" s="135"/>
      <c r="BT32" s="6">
        <f>SUM($BO14:BT14)/SUM($BB14:BG14)*100-100</f>
        <v>10.358079370172561</v>
      </c>
      <c r="BU32" s="135"/>
      <c r="BV32" s="135"/>
      <c r="BW32" s="6">
        <f>SUM($BO14:BW14)/SUM($BB14:BJ14)*100-100</f>
        <v>7.9804176152175756</v>
      </c>
      <c r="BX32" s="135"/>
      <c r="BY32" s="135"/>
      <c r="BZ32" s="6">
        <f>SUM($BO14:BZ14)/SUM($BB14:BM14)*100-100</f>
        <v>6.8885451794441224</v>
      </c>
      <c r="CD32" s="6">
        <f>SUM($CD14:CD14)/SUM($BQ14:BQ14)*100-100</f>
        <v>7.3403291634642329</v>
      </c>
      <c r="CE32" s="135"/>
      <c r="CF32" s="135"/>
      <c r="CG32" s="6">
        <f>SUM($CD14:CG14)/SUM($BQ14:BT14)*100-100</f>
        <v>11.321778889190327</v>
      </c>
      <c r="CH32" s="135"/>
      <c r="CI32" s="135"/>
      <c r="CJ32" s="6">
        <f>SUM($CD14:CJ14)/SUM($BQ14:BW14)*100-100</f>
        <v>12.372541307612209</v>
      </c>
      <c r="CK32" s="135"/>
      <c r="CL32" s="135"/>
      <c r="CM32" s="6">
        <f>SUM($CD14:CM14)/SUM($BQ14:BZ14)*100-100</f>
        <v>12.704279795125558</v>
      </c>
      <c r="CQ32" s="6">
        <f>SUM($CQ14:CQ14)/SUM($CD14:CD14)*100-100</f>
        <v>5.1955678360492357</v>
      </c>
      <c r="CT32" s="6">
        <f>SUM($CQ14:CT14)/SUM($CD14:CG14)*100-100</f>
        <v>4.3621322150481063</v>
      </c>
      <c r="CW32" s="6">
        <f>SUM($CQ14:CW14)/SUM($CD14:CJ14)*100-100</f>
        <v>0.45117316048919065</v>
      </c>
      <c r="CZ32" s="6">
        <f>SUM($CQ14:CZ14)/SUM($CD14:CM14)*100-100</f>
        <v>-8.9979831115792166</v>
      </c>
      <c r="DD32" s="6">
        <f>SUM($DD14:DD14)/SUM($CQ14:CQ14)*100-100</f>
        <v>-44.731745603639425</v>
      </c>
      <c r="DE32" s="5"/>
      <c r="DG32" s="6">
        <f>SUM($DD14:DG14)/SUM($CQ14:CT14)*100-100</f>
        <v>-36.988516373276404</v>
      </c>
      <c r="DJ32" s="32">
        <f>SUM($DD14:DJ14)/SUM($CQ14:CW14)*100-100</f>
        <v>-37.765317061716061</v>
      </c>
      <c r="DM32" s="32">
        <f>SUM($DD14:DM14)/SUM($CQ14:CZ14)*100-100</f>
        <v>-34.342863474952551</v>
      </c>
      <c r="DQ32" s="32">
        <f>SUM($DQ14:DQ14)/SUM($DD14:DD14)*100-100</f>
        <v>-4.7285348197478783</v>
      </c>
      <c r="DT32" s="32">
        <f>SUM($DQ14:DT14)/SUM($DD14:DG14)*100-100</f>
        <v>-13.570131581312268</v>
      </c>
      <c r="DW32" s="32">
        <f>SUM($DQ14:DW14)/SUM($DD14:DJ14)*100-100</f>
        <v>-9.3568190097211641</v>
      </c>
      <c r="DZ32" s="32">
        <f>SUM($DQ14:DZ14)/SUM($DD14:DM14)*100-100</f>
        <v>-6.7949738898095404</v>
      </c>
      <c r="ED32" s="32">
        <f>SUM($ED14:ED14)/SUM($DQ14:DQ14)*100-100</f>
        <v>20.120286245504545</v>
      </c>
    </row>
    <row r="33" spans="1:138">
      <c r="A33" t="s">
        <v>42</v>
      </c>
      <c r="B33" s="229"/>
      <c r="C33" s="229"/>
      <c r="D33" s="229">
        <v>95.6</v>
      </c>
      <c r="E33" s="229"/>
      <c r="F33" s="229"/>
      <c r="G33" s="229">
        <v>76.7</v>
      </c>
      <c r="H33" s="229"/>
      <c r="I33" s="229"/>
      <c r="J33" s="227">
        <v>77.403052289216916</v>
      </c>
      <c r="K33" s="229"/>
      <c r="L33" s="228"/>
      <c r="M33" s="15">
        <v>47.541602790553014</v>
      </c>
      <c r="N33" s="15"/>
      <c r="Q33" s="5">
        <f>Q15/D15*100-100</f>
        <v>7.2414000007681381</v>
      </c>
      <c r="T33" s="35">
        <f>SUM(Q15:T15)/SUM(D15:G15)*100-100</f>
        <v>25.514851667631433</v>
      </c>
      <c r="W33" s="35">
        <f>SUM(Q15:W15)/SUM(D15:J15)*100-100</f>
        <v>49.691766216975253</v>
      </c>
      <c r="Z33" s="32">
        <f>SUM(Q15:Z15)/SUM(D15:M15)*100-100</f>
        <v>41.469186681419131</v>
      </c>
      <c r="AD33" s="5">
        <f>SUM(AD15)/SUM(Q15)*100-100</f>
        <v>-54.822398103992171</v>
      </c>
      <c r="AG33" s="5">
        <f>SUM(AD15:AG15)/SUM(Q15:T15)*100-100</f>
        <v>-22.254069871982182</v>
      </c>
      <c r="AJ33" s="5">
        <f>SUM(AD15:AJ15)/SUM(Q15:W15)*100-100</f>
        <v>-30.514251901211381</v>
      </c>
      <c r="AM33" s="5">
        <f>SUM(AD15:AM15)/SUM(Q15:Z15)*100-100</f>
        <v>-23.285725734105228</v>
      </c>
      <c r="AN33" s="32"/>
      <c r="AQ33" s="5">
        <f>SUM(AQ15)/SUM(AD15)*100-100</f>
        <v>129.13232006712661</v>
      </c>
      <c r="AT33" s="5">
        <f>SUM(AQ15:AT15)/SUM(AD15:AG15)*100-100</f>
        <v>3.7841550521106484</v>
      </c>
      <c r="AW33" s="5">
        <f>SUM(AQ15:AW15)/SUM(AD15:AJ15)*100-100</f>
        <v>4.3307614824134504</v>
      </c>
      <c r="AZ33" s="5">
        <f>SUM(AQ15:AZ15)/SUM(AD15:AM15)*100-100</f>
        <v>-26.529584438259548</v>
      </c>
      <c r="BD33" s="5">
        <f>SUM(BD15)/SUM(AQ15)*100-100</f>
        <v>25.91936660139595</v>
      </c>
      <c r="BG33" s="5">
        <f>SUM(BD15:BG15)/SUM(AQ15:AT15)*100-100</f>
        <v>28.270600884501079</v>
      </c>
      <c r="BJ33" s="5">
        <f>SUM(BD15:BJ15)/SUM(AQ15:AW15)*100-100</f>
        <v>9.434266233922429</v>
      </c>
      <c r="BM33" s="5">
        <f>SUM(BD15:BM15)/SUM(AQ15:AZ15)*100-100</f>
        <v>-16.119380994109989</v>
      </c>
      <c r="BQ33" s="6">
        <f>SUM(BQ15)/SUM(BD15)*100-100</f>
        <v>-34.152756666268914</v>
      </c>
      <c r="BR33" s="135"/>
      <c r="BS33" s="135"/>
      <c r="BT33" s="6">
        <f>SUM($BO15:BT15)/SUM($BB15:BG15)*100-100</f>
        <v>-35.397437217377302</v>
      </c>
      <c r="BU33" s="135"/>
      <c r="BV33" s="135"/>
      <c r="BW33" s="6">
        <f>SUM($BO15:BW15)/SUM($BB15:BJ15)*100-100</f>
        <v>-23.535918072484876</v>
      </c>
      <c r="BX33" s="135"/>
      <c r="BY33" s="135"/>
      <c r="BZ33" s="6">
        <f>SUM($BO15:BZ15)/SUM($BB15:BM15)*100-100</f>
        <v>9.9388671673836626</v>
      </c>
      <c r="CD33" s="6">
        <f>SUM($CD15:CD15)/SUM($BQ15:BQ15)*100-100</f>
        <v>-60.678642714570863</v>
      </c>
      <c r="CE33" s="135"/>
      <c r="CF33" s="135"/>
      <c r="CG33" s="6">
        <f>SUM($CD15:CG15)/SUM($BQ15:BT15)*100-100</f>
        <v>-42.396313364055302</v>
      </c>
      <c r="CH33" s="135"/>
      <c r="CI33" s="135"/>
      <c r="CJ33" s="6">
        <f>SUM($CD15:CJ15)/SUM($BQ15:BW15)*100-100</f>
        <v>-40.509637373407394</v>
      </c>
      <c r="CK33" s="135"/>
      <c r="CL33" s="135"/>
      <c r="CM33" s="6">
        <f>SUM($CD15:CM15)/SUM($BQ15:BZ15)*100-100</f>
        <v>-33.548252911813648</v>
      </c>
      <c r="CQ33" s="6">
        <f>SUM($CQ15:CQ15)/SUM($CD15:CD15)*100-100</f>
        <v>427.91878172588827</v>
      </c>
      <c r="CT33" s="6">
        <f>SUM($CQ15:CT15)/SUM($CD15:CG15)*100-100</f>
        <v>197.5</v>
      </c>
      <c r="CW33" s="6">
        <f>SUM($CQ15:CW15)/SUM($CD15:CJ15)*100-100</f>
        <v>152.38879736408569</v>
      </c>
      <c r="CZ33" s="6">
        <f>SUM($CQ15:CZ15)/SUM($CD15:CM15)*100-100</f>
        <v>21.533646322378729</v>
      </c>
      <c r="DD33" s="6">
        <f>SUM($DD15:DD15)/SUM($CQ15:CQ15)*100-100</f>
        <v>-64.326923076923066</v>
      </c>
      <c r="DE33" s="5"/>
      <c r="DG33" s="6">
        <f>SUM($DD15:DG15)/SUM($CQ15:CT15)*100-100</f>
        <v>-66.823529411764696</v>
      </c>
      <c r="DJ33" s="32">
        <f>SUM($DD15:DJ15)/SUM($CQ15:CW15)*100-100</f>
        <v>-60.639686684073105</v>
      </c>
      <c r="DM33" s="32">
        <f>SUM($DD15:DM15)/SUM($CQ15:CZ15)*100-100</f>
        <v>-58.382693793458671</v>
      </c>
      <c r="DQ33" s="32">
        <f>SUM($DQ15:DQ15)/SUM($DD15:DD15)*100-100</f>
        <v>-60.781671159029649</v>
      </c>
      <c r="DT33" s="32">
        <f>SUM($DQ15:DT15)/SUM($DD15:DG15)*100-100</f>
        <v>-24.518743667679843</v>
      </c>
      <c r="DW33" s="32">
        <f>SUM($DQ15:DW15)/SUM($DD15:DJ15)*100-100</f>
        <v>0.44223327805417512</v>
      </c>
      <c r="DZ33" s="32">
        <f>SUM($DQ15:DZ15)/SUM($DD15:DM15)*100-100</f>
        <v>68.236277465227346</v>
      </c>
      <c r="ED33" s="32">
        <f>SUM($ED15:ED15)/SUM($DQ15:DQ15)*100-100</f>
        <v>131.21969554636871</v>
      </c>
    </row>
    <row r="34" spans="1:138" ht="6" customHeight="1">
      <c r="B34" s="229"/>
      <c r="C34" s="229"/>
      <c r="D34" s="229"/>
      <c r="E34" s="229"/>
      <c r="F34" s="229"/>
      <c r="G34" s="229"/>
      <c r="H34" s="229"/>
      <c r="I34" s="229"/>
      <c r="J34" s="227"/>
      <c r="K34" s="229"/>
      <c r="L34" s="228"/>
      <c r="M34" s="15"/>
      <c r="N34" s="15"/>
      <c r="DE34" s="5"/>
    </row>
    <row r="35" spans="1:138">
      <c r="A35" t="s">
        <v>43</v>
      </c>
      <c r="B35" s="229">
        <v>-20</v>
      </c>
      <c r="C35" s="229">
        <v>-21.5</v>
      </c>
      <c r="D35" s="229">
        <v>-19.7</v>
      </c>
      <c r="E35" s="229">
        <v>-20</v>
      </c>
      <c r="F35" s="229">
        <v>-18.600000000000001</v>
      </c>
      <c r="G35" s="229">
        <v>-18.600000000000001</v>
      </c>
      <c r="H35" s="229">
        <v>-18.8</v>
      </c>
      <c r="I35" s="229">
        <v>-16</v>
      </c>
      <c r="J35" s="227">
        <v>-12</v>
      </c>
      <c r="K35" s="229">
        <v>-14.208428997440167</v>
      </c>
      <c r="L35" s="229">
        <v>-17.265953122883086</v>
      </c>
      <c r="M35" s="229">
        <v>-16.308115543328743</v>
      </c>
      <c r="N35" s="229"/>
      <c r="O35" s="229">
        <f>[8]Real!AA16/[8]Real!N16*100-100</f>
        <v>-14.612494782245733</v>
      </c>
      <c r="P35" s="229">
        <f>[8]Real!AB16/[8]Real!O16*100-100</f>
        <v>-12.952122394728661</v>
      </c>
      <c r="Q35" s="229">
        <f>[8]Real!AC16/[8]Real!P16*100-100</f>
        <v>-15.15477867064314</v>
      </c>
      <c r="R35" s="229">
        <f>[8]Real!AD16/[8]Real!Q16*100-100</f>
        <v>-14.048799619015611</v>
      </c>
      <c r="S35" s="229">
        <f>[8]Real!AE16/[8]Real!R16*100-100</f>
        <v>-12.174088021387306</v>
      </c>
      <c r="T35" s="229">
        <f>[8]Real!AF16/[8]Real!S16*100-100</f>
        <v>-11.233318668426463</v>
      </c>
      <c r="U35" s="229">
        <f>[8]Real!AG16/[8]Real!T16*100-100</f>
        <v>-10.739071119283466</v>
      </c>
      <c r="V35" s="229">
        <f>[8]Real!AH16/[8]Real!U16*100-100</f>
        <v>-8.9372560792554907</v>
      </c>
      <c r="W35" s="229">
        <f>[8]Real!AI16/[8]Real!V16*100-100</f>
        <v>-10.027100271002709</v>
      </c>
      <c r="X35" s="229">
        <f>[8]Real!AJ16/[8]Real!W16*100-100</f>
        <v>-6.1490664123781045</v>
      </c>
      <c r="Y35" s="229">
        <f>[8]Real!AK16/[8]Real!X16*100-100</f>
        <v>2.9476304326479408E-2</v>
      </c>
      <c r="Z35" s="229">
        <f>[8]Real!AL16/[8]Real!Y16*100-100</f>
        <v>0.82506081125501396</v>
      </c>
      <c r="AB35" s="229">
        <f>[8]Real!AN16/[8]Real!AA16*100-100</f>
        <v>-0.53122148350931298</v>
      </c>
      <c r="AC35" s="229">
        <f>[8]Real!AO16/[8]Real!AB16*100-100</f>
        <v>-0.64325395536208418</v>
      </c>
      <c r="AD35" s="229">
        <f>[8]Real!AP16/[8]Real!AC16*100-100</f>
        <v>19.697314890154587</v>
      </c>
      <c r="AE35" s="229">
        <f>[8]Real!AQ16/[8]Real!AD16*100-100</f>
        <v>20.885209569128477</v>
      </c>
      <c r="AF35" s="229">
        <f>[8]Real!AR16/[8]Real!AE16*100-100</f>
        <v>21.196648337261067</v>
      </c>
      <c r="AG35" s="229">
        <f>[8]Real!AS16/[8]Real!AF16*100-100</f>
        <v>18.969106228316562</v>
      </c>
      <c r="AH35" s="229">
        <f>[8]Real!AT16/[8]Real!AG16*100-100</f>
        <v>23.048808851380514</v>
      </c>
      <c r="AI35" s="229">
        <f>[8]Real!AU16/[8]Real!AH16*100-100</f>
        <v>23.591468038110321</v>
      </c>
      <c r="AJ35" s="229">
        <f>[8]Real!AV16/[8]Real!AI16*100-100</f>
        <v>27.1935479314064</v>
      </c>
      <c r="AK35" s="229">
        <f>[8]Real!AW16/[8]Real!AJ16*100-100</f>
        <v>26.637168141592909</v>
      </c>
      <c r="AL35" s="229">
        <f>[8]Real!AX16/[8]Real!AK16*100-100</f>
        <v>26.304430836712811</v>
      </c>
      <c r="AM35" s="229">
        <f>[8]Real!AY16/[8]Real!AL16*100-100</f>
        <v>23.199556613308104</v>
      </c>
      <c r="AN35" s="229"/>
      <c r="AO35" s="229">
        <f>[8]Real!BA16/[8]Real!AN16*100-100</f>
        <v>23.419940368926319</v>
      </c>
      <c r="AP35" s="229">
        <f>[8]Real!BB16/[8]Real!AO16*100-100</f>
        <v>25.770946011940481</v>
      </c>
      <c r="AQ35" s="229">
        <f>[8]Real!BC16/[8]Real!AP16*100-100</f>
        <v>8.8995839791173807</v>
      </c>
      <c r="AR35" s="229">
        <f>[8]Real!BD16/[8]Real!AQ16*100-100</f>
        <v>3.7618773065270119</v>
      </c>
      <c r="AS35" s="229">
        <f>[8]Real!BE16/[8]Real!AR16*100-100</f>
        <v>2.3666476277236512</v>
      </c>
      <c r="AT35" s="229">
        <f>[8]Real!BF16/[8]Real!AS16*100-100</f>
        <v>2.0665423410721786</v>
      </c>
      <c r="AU35" s="229">
        <f>[8]Real!BG16/[8]Real!AT16*100-100</f>
        <v>-4.813320612878158E-2</v>
      </c>
      <c r="AV35" s="229">
        <f>[8]Real!BH16/[8]Real!AU16*100-100</f>
        <v>-3.2475737864575223</v>
      </c>
      <c r="AW35" s="229">
        <f>[8]Real!BI16/[8]Real!AV16*100-100</f>
        <v>-5.9756733187526123</v>
      </c>
      <c r="AX35" s="229">
        <f>[8]Real!BJ16/[8]Real!AW16*100-100</f>
        <v>-7.2881386774696466</v>
      </c>
      <c r="AY35" s="229">
        <f>[8]Real!BK16/[8]Real!AX16*100-100</f>
        <v>-6.9195611675719277</v>
      </c>
      <c r="AZ35" s="229">
        <f>[8]Real!BL16/[8]Real!AY16*100-100</f>
        <v>-3.8241008959388694</v>
      </c>
      <c r="BA35" s="229"/>
      <c r="BB35" s="229">
        <f>[8]Real!BN16/[8]Real!BA16*100-100</f>
        <v>-3.6300641435339571</v>
      </c>
      <c r="BC35" s="229">
        <f>[8]Real!BO16/[8]Real!BB16*100-100</f>
        <v>-4.4901583222313945</v>
      </c>
      <c r="BD35" s="229">
        <f>[8]Real!BP16/[8]Real!BC16*100-100</f>
        <v>-7.6956637542069757</v>
      </c>
      <c r="BE35" s="229">
        <f>[8]Real!BQ16/[8]Real!BD16*100-100</f>
        <v>-3.7882849572818884</v>
      </c>
      <c r="BF35" s="229">
        <f>[8]Real!BR16/[8]Real!BE16*100-100</f>
        <v>-0.59611923859726801</v>
      </c>
      <c r="BG35" s="229">
        <f>[8]Real!BS16/[8]Real!BF16*100-100</f>
        <v>0.37094852328063155</v>
      </c>
      <c r="BH35" s="229">
        <f>[8]Real!BT16/[8]Real!BG16*100-100</f>
        <v>-1.8044494097359376</v>
      </c>
      <c r="BI35" s="229">
        <f>[8]Real!BU16/[8]Real!BH16*100-100</f>
        <v>1.3338358092709939</v>
      </c>
      <c r="BJ35" s="229">
        <f>[8]Real!BV16/[8]Real!BI16*100-100</f>
        <v>2.9725222663629722</v>
      </c>
      <c r="BK35" s="229">
        <f>[8]Real!BW16/[8]Real!BJ16*100-100</f>
        <v>5.9689996525646336</v>
      </c>
      <c r="BL35" s="229">
        <f>[8]Real!BX16/[8]Real!BK16*100-100</f>
        <v>6.3299924883805545</v>
      </c>
      <c r="BM35" s="229">
        <f>[8]Real!BY16/[8]Real!BL16*100-100</f>
        <v>6.1453038027114957</v>
      </c>
      <c r="BN35" s="229"/>
      <c r="BO35" s="229">
        <f>[8]Real!CA16/[8]Real!BN16*100-100</f>
        <v>6.5533368317023104</v>
      </c>
      <c r="BP35" s="229">
        <f>[8]Real!CB16/[8]Real!BO16*100-100</f>
        <v>5.8189203139208985</v>
      </c>
      <c r="BQ35" s="229">
        <f>[8]Real!CC16/[8]Real!BP16*100-100</f>
        <v>5.6705736420104955</v>
      </c>
      <c r="BR35" s="229">
        <f>[8]Real!CD16/[8]Real!BQ16*100-100</f>
        <v>5.910209073097235</v>
      </c>
      <c r="BS35" s="229">
        <f>[8]Real!CE16/[8]Real!BR16*100-100</f>
        <v>7.6844133366275713</v>
      </c>
      <c r="BT35" s="229">
        <f>[8]Real!CF16/[8]Real!BS16*100-100</f>
        <v>13.322911433773683</v>
      </c>
      <c r="BU35" s="229">
        <f>[8]Real!CG16/[8]Real!BT16*100-100</f>
        <v>12.136817784688134</v>
      </c>
      <c r="BV35" s="229">
        <f>[8]Real!CH16/[8]Real!BU16*100-100</f>
        <v>11.164861316129887</v>
      </c>
      <c r="BW35" s="229">
        <f>[8]Real!CI16/[8]Real!BV16*100-100</f>
        <v>9.1913146415006537</v>
      </c>
      <c r="BX35" s="229">
        <f>[8]Real!CJ16/[8]Real!BW16*100-100</f>
        <v>6.8162499550918199</v>
      </c>
      <c r="BY35" s="229">
        <f>[8]Real!CK16/[8]Real!BX16*100-100</f>
        <v>6.1604709186483291</v>
      </c>
      <c r="BZ35" s="229">
        <f>[8]Real!CL16/[8]Real!BY16*100-100</f>
        <v>4.6170312812520393</v>
      </c>
      <c r="CA35" s="229"/>
      <c r="CB35" s="229">
        <f>[8]Real!CN16/[8]Real!CA16*100-100</f>
        <v>5.1273383959564427</v>
      </c>
      <c r="CC35" s="229">
        <f>[8]Real!CO16/[8]Real!CB16*100-100</f>
        <v>5.2652406237104827</v>
      </c>
      <c r="CD35" s="229">
        <f>[8]Real!CP16/[8]Real!CC16*100-100</f>
        <v>7.15187736224145</v>
      </c>
      <c r="CE35" s="229">
        <f>[8]Real!CQ16/[8]Real!CD16*100-100</f>
        <v>4.7997513407732129</v>
      </c>
      <c r="CF35" s="229">
        <f>[8]Real!CR16/[8]Real!CE16*100-100</f>
        <v>2.8300854361620082</v>
      </c>
      <c r="CG35" s="229">
        <f>[8]Real!CS16/[8]Real!CF16*100-100</f>
        <v>-1.9395489510748405</v>
      </c>
      <c r="CH35" s="229">
        <f>[8]Real!CT16/[8]Real!CG16*100-100</f>
        <v>0.52808117303619895</v>
      </c>
      <c r="CI35" s="229">
        <f>[8]Real!CU16/[8]Real!CH16*100-100</f>
        <v>-0.57514868205291236</v>
      </c>
      <c r="CJ35" s="229">
        <f>[8]Real!CV16/[8]Real!CI16*100-100</f>
        <v>-0.23650555866532841</v>
      </c>
      <c r="CK35" s="229">
        <f>[8]Real!CW16/[8]Real!CJ16*100-100</f>
        <v>-0.10762651452895966</v>
      </c>
      <c r="CL35" s="229">
        <f>[8]Real!CX16/[8]Real!CK16*100-100</f>
        <v>-0.34674128428818562</v>
      </c>
      <c r="CM35" s="229">
        <f>[8]Real!CY16/[8]Real!CL16*100-100</f>
        <v>0.50922940282308105</v>
      </c>
      <c r="CN35" s="229"/>
      <c r="CO35" s="229">
        <f>+Real!DA16/Real!CN16*100-100</f>
        <v>0.36189471111418925</v>
      </c>
      <c r="CP35" s="229">
        <f>+Real!DB16/Real!CO16*100-100</f>
        <v>0.96036361859145813</v>
      </c>
      <c r="CQ35" s="229">
        <f>+Real!DC16/Real!CP16*100-100</f>
        <v>-1.2590185866501002</v>
      </c>
      <c r="CR35" s="229">
        <f>+Real!DD16/Real!CQ16*100-100</f>
        <v>0.6350673998734635</v>
      </c>
      <c r="CS35" s="229">
        <f>+Real!DE16/Real!CR16*100-100</f>
        <v>-0.94434590863335188</v>
      </c>
      <c r="CT35" s="229">
        <f>+Real!DF16/Real!CS16*100-100</f>
        <v>-0.63918028787509229</v>
      </c>
      <c r="CU35" s="229">
        <f>+Real!DG16/Real!CT16*100-100</f>
        <v>-0.91275167785235567</v>
      </c>
      <c r="CV35" s="229">
        <f>+Real!DH16/Real!CU16*100-100</f>
        <v>1.2283379283182398</v>
      </c>
      <c r="CW35" s="229">
        <f>+Real!DI16/Real!CV16*100-100</f>
        <v>0.56996224925363492</v>
      </c>
      <c r="CX35" s="229">
        <f>+Real!DJ16/Real!CW16*100-100</f>
        <v>1.5381576673332944</v>
      </c>
      <c r="CY35" s="229">
        <f>+Real!DK16/Real!CX16*100-100</f>
        <v>7.3729296130325963</v>
      </c>
      <c r="CZ35" s="229">
        <f>+Real!DL16/Real!CY16*100-100</f>
        <v>17.091509713046065</v>
      </c>
      <c r="DB35" s="229">
        <f>+Real!DN16/Real!DA16*100-100</f>
        <v>16.816544559064965</v>
      </c>
      <c r="DC35" s="229">
        <f>+Real!DO16/Real!DB16*100-100</f>
        <v>15.880430836258029</v>
      </c>
      <c r="DD35" s="229">
        <f>+Real!DP16/Real!DC16*100-100</f>
        <v>14.00885533860783</v>
      </c>
      <c r="DE35" s="229">
        <f>+Real!DQ16/Real!DD16*100-100</f>
        <v>15.191373098962742</v>
      </c>
      <c r="DF35" s="229">
        <f>+Real!DR16/Real!DE16*100-100</f>
        <v>15.790747193186235</v>
      </c>
      <c r="DG35" s="229">
        <f>+Real!DS16/Real!DF16*100-100</f>
        <v>16.020919269298759</v>
      </c>
      <c r="DH35" s="229">
        <f>+Real!DT16/Real!DG16*100-100</f>
        <v>17.802517179379819</v>
      </c>
      <c r="DI35" s="229">
        <f>+Real!DU16/Real!DH16*100-100</f>
        <v>17.396590715657894</v>
      </c>
      <c r="DJ35" s="229">
        <f>+Real!DV16/Real!DI16*100-100</f>
        <v>16.219332679097135</v>
      </c>
      <c r="DK35" s="229">
        <f>+Real!DW16/Real!DJ16*100-100</f>
        <v>14.958906774303358</v>
      </c>
      <c r="DL35" s="229">
        <f>+Real!DX16/Real!DK16*100-100</f>
        <v>11.326062394798114</v>
      </c>
      <c r="DM35" s="229">
        <f>+Real!DY16/Real!DL16*100-100</f>
        <v>1.8485378023875114</v>
      </c>
      <c r="DO35" s="229">
        <f>+Real!EA16/Real!DN16*100-100</f>
        <v>2.519192851449418</v>
      </c>
      <c r="DP35" s="229">
        <f>+Real!EB16/Real!DO16*100-100</f>
        <v>2.6276213551675198</v>
      </c>
      <c r="DQ35" s="229">
        <f>+Real!EC16/Real!DP16*100-100</f>
        <v>2.0330638144351809</v>
      </c>
      <c r="DR35" s="229">
        <f>+Real!ED16/Real!DQ16*100-100</f>
        <v>0.45967843499433059</v>
      </c>
      <c r="DS35" s="229">
        <f>+Real!EE16/Real!DR16*100-100</f>
        <v>-0.20687925774230109</v>
      </c>
      <c r="DT35" s="229">
        <f>+Real!EF16/Real!DS16*100-100</f>
        <v>0.87825111633124209</v>
      </c>
      <c r="DU35" s="229">
        <f>+Real!EG16/Real!DT16*100-100</f>
        <v>-0.45160885655147354</v>
      </c>
      <c r="DV35" s="229">
        <f>+Real!EH16/Real!DU16*100-100</f>
        <v>-1.6612465563311645</v>
      </c>
      <c r="DW35" s="229">
        <f>+Real!EI16/Real!DV16*100-100</f>
        <v>0.15832471343226473</v>
      </c>
      <c r="DX35" s="229">
        <f>+Real!EJ16/Real!DW16*100-100</f>
        <v>0.49917509200896859</v>
      </c>
      <c r="DY35" s="229">
        <f>+Real!EK16/Real!DX16*100-100</f>
        <v>-0.54058532341915111</v>
      </c>
      <c r="DZ35" s="229">
        <f>+Real!EL16/Real!DY16*100-100</f>
        <v>3.9276485788121818E-2</v>
      </c>
      <c r="EA35" s="229"/>
      <c r="EB35" s="229">
        <f>+Real!EN16/Real!EA16*100-100</f>
        <v>-0.46035805626598858</v>
      </c>
      <c r="EC35" s="229">
        <f>+Real!EO16/Real!EB16*100-100</f>
        <v>-0.96674400618715595</v>
      </c>
      <c r="ED35" s="229">
        <f>+Real!EP16/Real!EC16*100-100</f>
        <v>0.55325609933649389</v>
      </c>
      <c r="EE35" s="229">
        <f>+Real!EQ16/Real!ED16*100-100</f>
        <v>1.2682559913081519</v>
      </c>
      <c r="EF35" s="229">
        <f>+Real!ER16/Real!EE16*100-100</f>
        <v>0.93183959794784244</v>
      </c>
      <c r="EG35" s="229">
        <f>+Real!ES16/Real!EF16*100-100</f>
        <v>0.79508265503062603</v>
      </c>
      <c r="EH35" s="229">
        <f>+Real!ET16/Real!EG16*100-100</f>
        <v>0.46835948165417562</v>
      </c>
    </row>
    <row r="36" spans="1:138" ht="6" customHeight="1">
      <c r="B36" s="229"/>
      <c r="C36" s="229"/>
      <c r="D36" s="229"/>
      <c r="E36" s="229"/>
      <c r="F36" s="229"/>
      <c r="G36" s="229"/>
      <c r="H36" s="229"/>
      <c r="I36" s="229"/>
      <c r="J36" s="227"/>
      <c r="K36" s="229"/>
      <c r="L36" s="228"/>
      <c r="M36" s="229"/>
      <c r="N36" s="229"/>
      <c r="O36" s="229"/>
      <c r="P36" s="229"/>
      <c r="AO36" s="209"/>
      <c r="AP36" s="209"/>
      <c r="AQ36" s="209"/>
      <c r="AR36" s="209"/>
      <c r="AS36" s="209"/>
      <c r="AT36" s="209"/>
      <c r="AU36" s="209"/>
      <c r="AV36" s="209"/>
      <c r="AW36" s="209"/>
      <c r="AX36" s="209"/>
      <c r="AY36" s="209"/>
      <c r="AZ36" s="209"/>
      <c r="DE36" s="5"/>
    </row>
    <row r="37" spans="1:138">
      <c r="A37" t="s">
        <v>111</v>
      </c>
      <c r="B37" s="229">
        <v>1063.0999999999999</v>
      </c>
      <c r="C37" s="229">
        <v>1085.8</v>
      </c>
      <c r="D37" s="229">
        <v>1062.9000000000001</v>
      </c>
      <c r="E37" s="229">
        <v>1120.9000000000001</v>
      </c>
      <c r="F37" s="229">
        <v>1142.9000000000001</v>
      </c>
      <c r="G37" s="229">
        <v>1216</v>
      </c>
      <c r="H37" s="229">
        <v>1270.4000000000001</v>
      </c>
      <c r="I37" s="229">
        <v>1298.3</v>
      </c>
      <c r="J37" s="18">
        <v>1333.9859431486504</v>
      </c>
      <c r="K37" s="8">
        <v>1376.0994858771612</v>
      </c>
      <c r="L37" s="88">
        <v>1575.5487475803816</v>
      </c>
      <c r="M37" s="8">
        <v>1659.1537927750958</v>
      </c>
      <c r="N37" s="229"/>
      <c r="O37" s="229">
        <v>1628.0990836557401</v>
      </c>
      <c r="P37" s="229">
        <v>1621.67087539982</v>
      </c>
      <c r="Q37" s="6">
        <v>1605.9671052528217</v>
      </c>
      <c r="R37" s="5">
        <v>1595.1754119034399</v>
      </c>
      <c r="S37" s="229">
        <v>1546.69069254798</v>
      </c>
      <c r="T37" s="6">
        <v>1579.5609411097828</v>
      </c>
      <c r="U37" s="5">
        <v>1603.4910390662601</v>
      </c>
      <c r="V37" s="5">
        <v>1612.7601134019801</v>
      </c>
      <c r="W37" s="5">
        <v>1585.2732790479199</v>
      </c>
      <c r="X37" s="5">
        <v>1489.22225015958</v>
      </c>
      <c r="Y37" s="5">
        <v>1498.7316083452199</v>
      </c>
      <c r="Z37" s="6">
        <v>1406.812547966279</v>
      </c>
      <c r="AB37" s="5">
        <v>1259.5405855698</v>
      </c>
      <c r="AC37" s="5">
        <v>1141.1072388454299</v>
      </c>
      <c r="AD37" s="6">
        <v>1343.3073083843426</v>
      </c>
      <c r="AE37" s="5">
        <v>1242.03449932844</v>
      </c>
      <c r="AF37" s="5">
        <v>1258.53624680539</v>
      </c>
      <c r="AG37" s="6">
        <v>1963.0630160881856</v>
      </c>
      <c r="AH37" s="5">
        <v>1968.04953801437</v>
      </c>
      <c r="AI37" s="5">
        <v>2047.6939807957301</v>
      </c>
      <c r="AJ37" s="6">
        <v>2029.7456318162122</v>
      </c>
      <c r="AK37" s="5">
        <v>2144.6206426203698</v>
      </c>
      <c r="AL37" s="5">
        <v>2115.8906182614501</v>
      </c>
      <c r="AM37" s="6">
        <v>2003.6750413088955</v>
      </c>
      <c r="AN37" s="5"/>
      <c r="AO37" s="32">
        <v>1938.4496867943117</v>
      </c>
      <c r="AP37" s="32">
        <v>1848.6394869291371</v>
      </c>
      <c r="AQ37" s="32">
        <v>1911.2618808151888</v>
      </c>
      <c r="AR37" s="32">
        <v>1887.4490319834599</v>
      </c>
      <c r="AS37" s="32">
        <v>1783.49507863195</v>
      </c>
      <c r="AT37" s="32">
        <v>1786.9237133340598</v>
      </c>
      <c r="AU37" s="32">
        <v>1831.1890810778993</v>
      </c>
      <c r="AV37" s="32">
        <v>1839.6908345816028</v>
      </c>
      <c r="AW37" s="32">
        <v>1852.6493699957291</v>
      </c>
      <c r="AX37" s="32">
        <v>1842.1195222027027</v>
      </c>
      <c r="AY37" s="32">
        <v>1809.4650013985197</v>
      </c>
      <c r="AZ37" s="32">
        <v>1865.8452428747103</v>
      </c>
      <c r="BA37" s="32"/>
      <c r="BB37" s="32">
        <v>1817.0248076119401</v>
      </c>
      <c r="BC37" s="32">
        <v>1789.8953463080773</v>
      </c>
      <c r="BD37" s="32">
        <v>1823.4426119468339</v>
      </c>
      <c r="BE37" s="32">
        <v>1765.3239616829078</v>
      </c>
      <c r="BF37" s="32">
        <v>1707.5275643543634</v>
      </c>
      <c r="BG37" s="32">
        <v>1782.0340329081071</v>
      </c>
      <c r="BH37" s="32">
        <v>1875.7512319863004</v>
      </c>
      <c r="BI37" s="32">
        <v>2007.5759715456099</v>
      </c>
      <c r="BJ37" s="32">
        <v>1955.1</v>
      </c>
      <c r="BK37" s="32">
        <v>1949.3408842163401</v>
      </c>
      <c r="BL37" s="32">
        <v>1887.78</v>
      </c>
      <c r="BM37" s="6">
        <v>1932.4760501503431</v>
      </c>
      <c r="BN37" s="5"/>
      <c r="BO37" s="6">
        <v>1730.3491908189862</v>
      </c>
      <c r="BP37" s="6">
        <v>1758.1408073711807</v>
      </c>
      <c r="BQ37" s="6">
        <v>1714.2161260231269</v>
      </c>
      <c r="BR37" s="32">
        <v>1687.9093331305623</v>
      </c>
      <c r="BS37" s="32">
        <v>1675.8282103311701</v>
      </c>
      <c r="BT37" s="6">
        <v>1671.2727948510756</v>
      </c>
      <c r="BU37" s="32">
        <v>1674.6728895126407</v>
      </c>
      <c r="BV37" s="32">
        <v>1725.7557667102712</v>
      </c>
      <c r="BW37" s="32">
        <v>1692.3199373155053</v>
      </c>
      <c r="BX37" s="32">
        <v>1708.959751125321</v>
      </c>
      <c r="BY37" s="32">
        <v>1687.942525933827</v>
      </c>
      <c r="BZ37" s="6">
        <v>1799.376166366043</v>
      </c>
      <c r="CA37" s="32"/>
      <c r="CB37" s="32">
        <v>1768.039497666603</v>
      </c>
      <c r="CC37" s="32">
        <v>1771.58145035961</v>
      </c>
      <c r="CD37" s="32">
        <v>1631.3770806509749</v>
      </c>
      <c r="CE37" s="32">
        <v>1638.1854458560508</v>
      </c>
      <c r="CF37" s="32">
        <v>1669.7023474499629</v>
      </c>
      <c r="CG37" s="32">
        <v>1605.71051564751</v>
      </c>
      <c r="CH37" s="32">
        <v>1749.5121929246218</v>
      </c>
      <c r="CI37" s="32">
        <f>1794308407.72268/1000000</f>
        <v>1794.3084077226802</v>
      </c>
      <c r="CJ37" s="32">
        <f>2430558155.09508/1000000</f>
        <v>2430.5581550950801</v>
      </c>
      <c r="CK37" s="32">
        <f>1955750569.43082/1000000</f>
        <v>1955.75056943082</v>
      </c>
      <c r="CL37" s="224">
        <v>2021.9000472337877</v>
      </c>
      <c r="CM37" s="5">
        <v>2251.6132598924064</v>
      </c>
      <c r="CN37" s="32"/>
      <c r="CO37" s="5">
        <v>2113.5365926369814</v>
      </c>
      <c r="CP37" s="5">
        <v>2013.5391509922335</v>
      </c>
      <c r="CQ37" s="5">
        <v>1970.2660515073219</v>
      </c>
      <c r="CR37" s="5">
        <v>1879.2243590444675</v>
      </c>
      <c r="CS37" s="5">
        <v>1866.8093753080122</v>
      </c>
      <c r="CT37" s="5">
        <v>1784.0046867544781</v>
      </c>
      <c r="CU37" s="5">
        <v>1912.622334061909</v>
      </c>
      <c r="CV37" s="5">
        <v>1751.2128813826751</v>
      </c>
      <c r="CW37" s="5">
        <v>1663.3436869853579</v>
      </c>
      <c r="CX37" s="5">
        <v>1670.9875810240446</v>
      </c>
      <c r="CY37" s="5">
        <v>1537.6491446196826</v>
      </c>
      <c r="CZ37" s="5">
        <v>1489.2971644795557</v>
      </c>
      <c r="DA37" s="5"/>
      <c r="DB37" s="5">
        <v>1351.1229481262067</v>
      </c>
      <c r="DC37" s="5">
        <v>1260.8503170625429</v>
      </c>
      <c r="DD37" s="5">
        <v>1491.5251570487658</v>
      </c>
      <c r="DE37" s="5">
        <v>1495.756311657758</v>
      </c>
      <c r="DF37" s="5">
        <v>1598.6534897683434</v>
      </c>
      <c r="DG37" s="5">
        <v>1545.6566686941806</v>
      </c>
      <c r="DH37" s="5">
        <v>1702.5494231458636</v>
      </c>
      <c r="DI37" s="5">
        <v>1646.0493718510772</v>
      </c>
      <c r="DJ37" s="5">
        <v>1625.5066552342014</v>
      </c>
      <c r="DK37" s="5">
        <v>1582.2829839538106</v>
      </c>
      <c r="DL37" s="5">
        <v>1549.7411601718009</v>
      </c>
      <c r="DM37" s="6">
        <v>1775.2941515907526</v>
      </c>
      <c r="DO37" s="229">
        <v>1740.22247384354</v>
      </c>
      <c r="DP37" s="229">
        <v>1680.6633218959203</v>
      </c>
      <c r="DQ37" s="229">
        <v>1626.2786602837666</v>
      </c>
      <c r="DR37" s="229">
        <v>1568.0824721911158</v>
      </c>
      <c r="DS37" s="229">
        <v>1532.0306505335195</v>
      </c>
      <c r="DT37" s="229">
        <v>1567.515605325972</v>
      </c>
      <c r="DU37" s="229">
        <v>1588.8151738143674</v>
      </c>
      <c r="DV37" s="229">
        <v>1703.4911746249302</v>
      </c>
      <c r="DW37" s="229">
        <v>1821.5974876111734</v>
      </c>
      <c r="DX37" s="229">
        <v>1839.112036541954</v>
      </c>
      <c r="DY37" s="229">
        <v>1752.3811731836549</v>
      </c>
      <c r="DZ37" s="229">
        <v>2204.1166413113974</v>
      </c>
      <c r="EB37" s="229">
        <v>2067.2984063716526</v>
      </c>
      <c r="EC37" s="229">
        <v>2026.3123134603127</v>
      </c>
      <c r="ED37" s="229">
        <v>2053.0809161559455</v>
      </c>
      <c r="EE37" s="229">
        <v>1939.5873173586317</v>
      </c>
      <c r="EF37" s="229">
        <v>1982.2412501892811</v>
      </c>
      <c r="EG37" s="229">
        <v>2016.5191260661325</v>
      </c>
      <c r="EH37" s="229">
        <v>2103.3188983716127</v>
      </c>
    </row>
    <row r="38" spans="1:138">
      <c r="A38" s="1" t="s">
        <v>64</v>
      </c>
      <c r="B38" s="229">
        <f t="shared" ref="B38:M38" si="1">B37/$B$42</f>
        <v>3.466630434782608</v>
      </c>
      <c r="C38" s="229">
        <f t="shared" si="1"/>
        <v>3.5406521739130432</v>
      </c>
      <c r="D38" s="229">
        <f t="shared" si="1"/>
        <v>3.4659782608695653</v>
      </c>
      <c r="E38" s="229">
        <f t="shared" si="1"/>
        <v>3.6551086956521739</v>
      </c>
      <c r="F38" s="229">
        <f t="shared" si="1"/>
        <v>3.7268478260869564</v>
      </c>
      <c r="G38" s="229">
        <f t="shared" si="1"/>
        <v>3.9652173913043476</v>
      </c>
      <c r="H38" s="229">
        <f t="shared" si="1"/>
        <v>4.1426086956521742</v>
      </c>
      <c r="I38" s="229">
        <f t="shared" si="1"/>
        <v>4.233586956521739</v>
      </c>
      <c r="J38" s="229">
        <f t="shared" si="1"/>
        <v>4.349954162441251</v>
      </c>
      <c r="K38" s="229">
        <f t="shared" si="1"/>
        <v>4.487280932208134</v>
      </c>
      <c r="L38" s="229">
        <f t="shared" si="1"/>
        <v>5.1376589595012438</v>
      </c>
      <c r="M38" s="229">
        <f t="shared" si="1"/>
        <v>5.410284106875312</v>
      </c>
      <c r="N38" s="229"/>
      <c r="O38" s="229">
        <f t="shared" ref="O38:V38" si="2">O37/$C$42</f>
        <v>4.3290912926808955</v>
      </c>
      <c r="P38" s="229">
        <f t="shared" si="2"/>
        <v>4.3119987823615871</v>
      </c>
      <c r="Q38" s="229">
        <f t="shared" si="2"/>
        <v>4.2702426906788968</v>
      </c>
      <c r="R38" s="229">
        <f t="shared" si="2"/>
        <v>4.2415477382763749</v>
      </c>
      <c r="S38" s="229">
        <f t="shared" si="2"/>
        <v>4.1126275893143722</v>
      </c>
      <c r="T38" s="229">
        <f t="shared" si="2"/>
        <v>4.2000290922484806</v>
      </c>
      <c r="U38" s="229">
        <f t="shared" si="2"/>
        <v>4.263658867448509</v>
      </c>
      <c r="V38" s="229">
        <f t="shared" si="2"/>
        <v>4.2883051984985068</v>
      </c>
      <c r="W38" s="223">
        <f>W37/$E$42</f>
        <v>5.2871815865967315</v>
      </c>
      <c r="X38" s="229">
        <f>X37/$E$42</f>
        <v>4.9668335191536856</v>
      </c>
      <c r="Y38" s="229">
        <f>Y37/$E$42</f>
        <v>4.9985489994837797</v>
      </c>
      <c r="Z38" s="229">
        <f>Z37/$E$42</f>
        <v>4.6919818164522926</v>
      </c>
      <c r="AB38" s="229">
        <f t="shared" ref="AB38:AM38" si="3">AB37/$F$42</f>
        <v>3.8834755978513877</v>
      </c>
      <c r="AC38" s="229">
        <f t="shared" si="3"/>
        <v>3.5183162554329805</v>
      </c>
      <c r="AD38" s="229">
        <f t="shared" si="3"/>
        <v>4.1417491522641603</v>
      </c>
      <c r="AE38" s="229">
        <f t="shared" si="3"/>
        <v>3.8294999979294144</v>
      </c>
      <c r="AF38" s="229">
        <f t="shared" si="3"/>
        <v>3.8803789726784892</v>
      </c>
      <c r="AG38" s="229">
        <f t="shared" si="3"/>
        <v>6.0526095048967701</v>
      </c>
      <c r="AH38" s="229">
        <f t="shared" si="3"/>
        <v>6.067984187094666</v>
      </c>
      <c r="AI38" s="229">
        <f t="shared" si="3"/>
        <v>6.3135477311276365</v>
      </c>
      <c r="AJ38" s="229">
        <f t="shared" si="3"/>
        <v>6.2582085256409421</v>
      </c>
      <c r="AK38" s="229">
        <f t="shared" si="3"/>
        <v>6.6123966370617779</v>
      </c>
      <c r="AL38" s="229">
        <f t="shared" si="3"/>
        <v>6.5238148558934741</v>
      </c>
      <c r="AM38" s="229">
        <f t="shared" si="3"/>
        <v>6.1778264377458241</v>
      </c>
      <c r="AN38" s="229"/>
      <c r="AO38" s="229">
        <f t="shared" ref="AO38:AZ38" si="4">AO37/$H$42</f>
        <v>5.015393756259539</v>
      </c>
      <c r="AP38" s="229">
        <f t="shared" si="4"/>
        <v>4.7830258394026837</v>
      </c>
      <c r="AQ38" s="229">
        <f t="shared" si="4"/>
        <v>4.9450501444118729</v>
      </c>
      <c r="AR38" s="229">
        <f t="shared" si="4"/>
        <v>4.8834386338511253</v>
      </c>
      <c r="AS38" s="229">
        <f t="shared" si="4"/>
        <v>4.6144762707165592</v>
      </c>
      <c r="AT38" s="229">
        <f t="shared" si="4"/>
        <v>4.6233472531282276</v>
      </c>
      <c r="AU38" s="229">
        <f t="shared" si="4"/>
        <v>4.7378760183128055</v>
      </c>
      <c r="AV38" s="229">
        <f t="shared" si="4"/>
        <v>4.7598727932253633</v>
      </c>
      <c r="AW38" s="229">
        <f t="shared" si="4"/>
        <v>4.7934006985659225</v>
      </c>
      <c r="AX38" s="229">
        <f t="shared" si="4"/>
        <v>4.7661565904339005</v>
      </c>
      <c r="AY38" s="229">
        <f t="shared" si="4"/>
        <v>4.681668826386856</v>
      </c>
      <c r="AZ38" s="229">
        <f t="shared" si="4"/>
        <v>4.8275426723795869</v>
      </c>
      <c r="BA38" s="229"/>
      <c r="BB38" s="229">
        <f t="shared" ref="BB38:BM38" si="5">BB37/$I$42</f>
        <v>4.5124788268508444</v>
      </c>
      <c r="BC38" s="229">
        <f t="shared" si="5"/>
        <v>4.4451043368578071</v>
      </c>
      <c r="BD38" s="229">
        <f t="shared" si="5"/>
        <v>4.5284170826494217</v>
      </c>
      <c r="BE38" s="229">
        <f t="shared" si="5"/>
        <v>4.384082686298612</v>
      </c>
      <c r="BF38" s="229">
        <f t="shared" si="5"/>
        <v>4.2405485869727571</v>
      </c>
      <c r="BG38" s="229">
        <f t="shared" si="5"/>
        <v>4.4255812075532459</v>
      </c>
      <c r="BH38" s="229">
        <f t="shared" si="5"/>
        <v>4.6583225959924679</v>
      </c>
      <c r="BI38" s="229">
        <f t="shared" si="5"/>
        <v>4.9857019160900906</v>
      </c>
      <c r="BJ38" s="229">
        <f t="shared" si="5"/>
        <v>4.8553807947019862</v>
      </c>
      <c r="BK38" s="229">
        <f t="shared" si="5"/>
        <v>4.8410783548419039</v>
      </c>
      <c r="BL38" s="229">
        <f t="shared" si="5"/>
        <v>4.6881953642384104</v>
      </c>
      <c r="BM38" s="229">
        <f t="shared" si="5"/>
        <v>4.7991954887839645</v>
      </c>
      <c r="BN38" s="229"/>
      <c r="BO38" s="229">
        <f t="shared" ref="BO38:BZ38" si="6">BO37/$J$42</f>
        <v>3.8924010427420956</v>
      </c>
      <c r="BP38" s="229">
        <f t="shared" si="6"/>
        <v>3.954917971591613</v>
      </c>
      <c r="BQ38" s="229">
        <f t="shared" si="6"/>
        <v>3.8561098949395491</v>
      </c>
      <c r="BR38" s="229">
        <f t="shared" si="6"/>
        <v>3.7969330602118987</v>
      </c>
      <c r="BS38" s="229">
        <f t="shared" si="6"/>
        <v>3.7697567103564151</v>
      </c>
      <c r="BT38" s="229">
        <f t="shared" si="6"/>
        <v>3.7595093544707221</v>
      </c>
      <c r="BU38" s="229">
        <f t="shared" si="6"/>
        <v>3.7671578291695393</v>
      </c>
      <c r="BV38" s="229">
        <f t="shared" si="6"/>
        <v>3.8820681868738207</v>
      </c>
      <c r="BW38" s="229">
        <f t="shared" si="6"/>
        <v>3.8068546647179056</v>
      </c>
      <c r="BX38" s="229">
        <f t="shared" si="6"/>
        <v>3.8442857387277156</v>
      </c>
      <c r="BY38" s="229">
        <f t="shared" si="6"/>
        <v>3.7970077270495084</v>
      </c>
      <c r="BZ38" s="229">
        <f t="shared" si="6"/>
        <v>4.0476764478581746</v>
      </c>
      <c r="CA38" s="229"/>
      <c r="CB38" s="229">
        <f t="shared" ref="CB38:CM38" si="7">CB37/$K$42</f>
        <v>4.0028061980226468</v>
      </c>
      <c r="CC38" s="229">
        <f t="shared" si="7"/>
        <v>4.0108251083532034</v>
      </c>
      <c r="CD38" s="229">
        <f t="shared" si="7"/>
        <v>3.6934052086279712</v>
      </c>
      <c r="CE38" s="229">
        <f t="shared" si="7"/>
        <v>3.7088192118090353</v>
      </c>
      <c r="CF38" s="229">
        <f t="shared" si="7"/>
        <v>3.7801728491056439</v>
      </c>
      <c r="CG38" s="229">
        <f t="shared" si="7"/>
        <v>3.6352966168157348</v>
      </c>
      <c r="CH38" s="229">
        <f t="shared" si="7"/>
        <v>3.9608607492067507</v>
      </c>
      <c r="CI38" s="229">
        <f t="shared" si="7"/>
        <v>4.0622784870334625</v>
      </c>
      <c r="CJ38" s="229">
        <f t="shared" si="7"/>
        <v>5.5027352390651574</v>
      </c>
      <c r="CK38" s="229">
        <f t="shared" si="7"/>
        <v>4.4277803247245187</v>
      </c>
      <c r="CL38" s="229">
        <f t="shared" si="7"/>
        <v>4.5775414245727593</v>
      </c>
      <c r="CM38" s="229">
        <f t="shared" si="7"/>
        <v>5.097607561449867</v>
      </c>
      <c r="CN38" s="229"/>
      <c r="CO38" s="229">
        <f t="shared" ref="CO38:CW38" si="8">CO37/$L$42</f>
        <v>4.8475609922866543</v>
      </c>
      <c r="CP38" s="229">
        <f t="shared" si="8"/>
        <v>4.6182090619087921</v>
      </c>
      <c r="CQ38" s="229">
        <f t="shared" si="8"/>
        <v>4.5189588337323894</v>
      </c>
      <c r="CR38" s="229">
        <f t="shared" si="8"/>
        <v>4.3101476124873113</v>
      </c>
      <c r="CS38" s="229">
        <f t="shared" si="8"/>
        <v>4.281672879146817</v>
      </c>
      <c r="CT38" s="229">
        <f t="shared" si="8"/>
        <v>4.0917538687029316</v>
      </c>
      <c r="CU38" s="229">
        <f t="shared" si="8"/>
        <v>4.3867484726190575</v>
      </c>
      <c r="CV38" s="229">
        <f t="shared" si="8"/>
        <v>4.0165433059235669</v>
      </c>
      <c r="CW38" s="229">
        <f t="shared" si="8"/>
        <v>3.8150084563884357</v>
      </c>
      <c r="CX38" s="229">
        <f>CX37/$M$42</f>
        <v>3.8576088827026807</v>
      </c>
      <c r="CY38" s="229">
        <f>CY37/$M$42</f>
        <v>3.5497864054321258</v>
      </c>
      <c r="CZ38" s="229">
        <f>CZ37/$M$42</f>
        <v>3.4381619803298706</v>
      </c>
      <c r="DB38" s="229">
        <f t="shared" ref="DB38:DM38" si="9">DB37/$O$42</f>
        <v>3.454821090456953</v>
      </c>
      <c r="DC38" s="229">
        <f t="shared" si="9"/>
        <v>3.2239939920627565</v>
      </c>
      <c r="DD38" s="229">
        <f t="shared" si="9"/>
        <v>3.8138295087545684</v>
      </c>
      <c r="DE38" s="227">
        <f t="shared" si="9"/>
        <v>3.8246485701881734</v>
      </c>
      <c r="DF38" s="227">
        <f t="shared" si="9"/>
        <v>4.087756632691268</v>
      </c>
      <c r="DG38" s="227">
        <f t="shared" si="9"/>
        <v>3.952243772497372</v>
      </c>
      <c r="DH38" s="227">
        <f t="shared" si="9"/>
        <v>4.3534185121990969</v>
      </c>
      <c r="DI38" s="227">
        <f t="shared" si="9"/>
        <v>4.2089478930775472</v>
      </c>
      <c r="DJ38" s="227">
        <f t="shared" si="9"/>
        <v>4.1564201710655055</v>
      </c>
      <c r="DK38" s="227">
        <f t="shared" si="9"/>
        <v>4.0458972528117894</v>
      </c>
      <c r="DL38" s="227">
        <f t="shared" si="9"/>
        <v>3.9626878163353103</v>
      </c>
      <c r="DM38" s="227">
        <f t="shared" si="9"/>
        <v>4.5394267673319906</v>
      </c>
      <c r="DO38" s="227">
        <f t="shared" ref="DO38:DY38" si="10">DO37/$P$42</f>
        <v>4.9696976882728414</v>
      </c>
      <c r="DP38" s="227">
        <f t="shared" si="10"/>
        <v>4.799609676999296</v>
      </c>
      <c r="DQ38" s="227">
        <f t="shared" si="10"/>
        <v>4.6442988870550206</v>
      </c>
      <c r="DR38" s="227">
        <f t="shared" si="10"/>
        <v>4.4781032047342668</v>
      </c>
      <c r="DS38" s="227">
        <f t="shared" si="10"/>
        <v>4.3751470267496986</v>
      </c>
      <c r="DT38" s="227">
        <f t="shared" si="10"/>
        <v>4.4764843559999203</v>
      </c>
      <c r="DU38" s="227">
        <f t="shared" si="10"/>
        <v>4.5373113007549755</v>
      </c>
      <c r="DV38" s="227">
        <f t="shared" si="10"/>
        <v>4.8648010698474922</v>
      </c>
      <c r="DW38" s="227">
        <f t="shared" si="10"/>
        <v>5.2020870660004945</v>
      </c>
      <c r="DX38" s="227">
        <f t="shared" si="10"/>
        <v>5.2521048163977744</v>
      </c>
      <c r="DY38" s="227">
        <f t="shared" si="10"/>
        <v>5.0044202946701235</v>
      </c>
      <c r="DZ38" s="227">
        <f>DZ37/(4672/12)</f>
        <v>5.6612584965190003</v>
      </c>
      <c r="EB38" s="227">
        <f t="shared" ref="EB38:EH38" si="11">EB37/$Q$42</f>
        <v>4.651712146345365</v>
      </c>
      <c r="EC38" s="227">
        <f t="shared" si="11"/>
        <v>4.5594876732652825</v>
      </c>
      <c r="ED38" s="227">
        <f t="shared" si="11"/>
        <v>4.6197207939004956</v>
      </c>
      <c r="EE38" s="227">
        <f t="shared" si="11"/>
        <v>4.364344235571644</v>
      </c>
      <c r="EF38" s="227">
        <f t="shared" si="11"/>
        <v>4.4603215830248217</v>
      </c>
      <c r="EG38" s="227">
        <f t="shared" si="11"/>
        <v>4.5374516243753211</v>
      </c>
      <c r="EH38" s="227">
        <f t="shared" si="11"/>
        <v>4.7327633190435687</v>
      </c>
    </row>
    <row r="39" spans="1:138">
      <c r="A39" s="3"/>
      <c r="B39" s="7"/>
      <c r="C39" s="7"/>
      <c r="D39" s="7"/>
      <c r="E39" s="7"/>
      <c r="F39" s="7"/>
      <c r="G39" s="7"/>
      <c r="H39" s="7"/>
      <c r="I39" s="7"/>
      <c r="J39" s="7"/>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136"/>
      <c r="AP39" s="136"/>
      <c r="AQ39" s="136"/>
      <c r="AR39" s="136"/>
      <c r="AS39" s="136"/>
      <c r="AT39" s="136"/>
      <c r="AU39" s="136"/>
      <c r="AV39" s="136"/>
      <c r="AW39" s="136"/>
      <c r="AX39" s="136"/>
      <c r="AY39" s="136"/>
      <c r="AZ39" s="136"/>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row>
    <row r="40" spans="1:138" ht="4.5" customHeight="1">
      <c r="B40" s="5"/>
      <c r="C40" s="5"/>
      <c r="D40" s="5"/>
      <c r="E40" s="5"/>
      <c r="F40" s="5"/>
      <c r="G40" s="5"/>
      <c r="H40" s="5"/>
      <c r="I40" s="5"/>
      <c r="J40" s="5"/>
      <c r="DE40" s="5"/>
    </row>
    <row r="41" spans="1:138" ht="15.75" hidden="1" customHeight="1">
      <c r="B41" s="5"/>
      <c r="C41" s="5"/>
      <c r="D41" s="5"/>
      <c r="E41" s="5"/>
      <c r="F41" s="5"/>
      <c r="G41" s="5"/>
      <c r="H41" s="5"/>
      <c r="I41" s="5"/>
      <c r="J41" s="219" t="s">
        <v>113</v>
      </c>
      <c r="K41" s="219" t="s">
        <v>113</v>
      </c>
      <c r="L41" s="219" t="s">
        <v>112</v>
      </c>
      <c r="M41">
        <v>2015</v>
      </c>
      <c r="O41">
        <v>2016</v>
      </c>
      <c r="P41">
        <v>2017</v>
      </c>
      <c r="Q41">
        <v>2018</v>
      </c>
      <c r="CL41" s="23"/>
      <c r="CM41" s="23"/>
      <c r="CN41" s="23"/>
      <c r="CO41" s="241"/>
      <c r="CP41" s="241"/>
      <c r="CQ41" s="241"/>
      <c r="CR41" s="241"/>
      <c r="CS41" s="241"/>
      <c r="CT41" s="241"/>
      <c r="CU41" s="241"/>
      <c r="CV41" s="241"/>
      <c r="CW41" s="241"/>
      <c r="CX41" s="241"/>
      <c r="CY41" s="241"/>
      <c r="CZ41" s="241"/>
      <c r="DE41" s="5"/>
    </row>
    <row r="42" spans="1:138" ht="12.75" hidden="1" customHeight="1">
      <c r="B42" s="5">
        <f>3680/12</f>
        <v>306.66666666666669</v>
      </c>
      <c r="C42" s="5">
        <v>376.08333333333331</v>
      </c>
      <c r="D42" s="5">
        <f>C42*12</f>
        <v>4513</v>
      </c>
      <c r="E42" s="5">
        <f>3598/12</f>
        <v>299.83333333333331</v>
      </c>
      <c r="F42" s="5">
        <f>3892/12</f>
        <v>324.33333333333331</v>
      </c>
      <c r="G42" s="5">
        <f>3833/12</f>
        <v>319.41666666666669</v>
      </c>
      <c r="H42" s="5">
        <v>386.5</v>
      </c>
      <c r="I42" s="13">
        <v>402.66666666666669</v>
      </c>
      <c r="J42" s="176">
        <f>1467/3.3</f>
        <v>444.54545454545456</v>
      </c>
      <c r="K42">
        <v>441.7</v>
      </c>
      <c r="L42" s="5">
        <v>436</v>
      </c>
      <c r="M42" s="232">
        <f>(3915+1283)/12</f>
        <v>433.16666666666669</v>
      </c>
      <c r="O42">
        <f>4693/12</f>
        <v>391.08333333333331</v>
      </c>
      <c r="P42" s="32">
        <f>(2659+1543)/12</f>
        <v>350.16666666666669</v>
      </c>
      <c r="Q42">
        <f>5333/12</f>
        <v>444.41666666666669</v>
      </c>
      <c r="CJ42" s="5"/>
      <c r="CK42" s="5"/>
      <c r="CL42" s="23"/>
      <c r="CM42" s="23"/>
      <c r="CN42" s="23"/>
      <c r="CO42" s="23"/>
      <c r="CP42" s="23"/>
      <c r="CQ42" s="23"/>
      <c r="CR42" s="23"/>
      <c r="CS42" s="23"/>
      <c r="CT42" s="23"/>
      <c r="CU42" s="23"/>
      <c r="CV42" s="23"/>
      <c r="CW42" s="23"/>
      <c r="CX42" s="23"/>
      <c r="CY42" s="23"/>
      <c r="CZ42" s="23"/>
      <c r="DA42">
        <v>1483.0568781094071</v>
      </c>
      <c r="DE42" s="5"/>
      <c r="DI42" s="5"/>
      <c r="DJ42" s="5"/>
      <c r="DK42" s="5"/>
      <c r="DL42" s="5"/>
      <c r="DM42" s="5"/>
    </row>
    <row r="43" spans="1:138" ht="13.5">
      <c r="A43" s="29" t="s">
        <v>69</v>
      </c>
      <c r="B43" s="5"/>
      <c r="C43" s="5"/>
      <c r="D43" s="5"/>
      <c r="E43" s="5"/>
      <c r="F43" s="5"/>
      <c r="G43" s="5"/>
      <c r="H43" s="5"/>
      <c r="I43" s="5"/>
      <c r="J43" s="5"/>
      <c r="K43" s="5"/>
      <c r="L43" s="5"/>
      <c r="P43">
        <f>+P42*12</f>
        <v>4202</v>
      </c>
      <c r="CI43" s="198"/>
      <c r="CJ43" s="199"/>
      <c r="CK43" s="199"/>
      <c r="CL43" s="199"/>
      <c r="CM43" s="199"/>
      <c r="CN43" s="198"/>
      <c r="CO43" s="5"/>
      <c r="CP43" s="5"/>
      <c r="CQ43" s="5"/>
      <c r="CR43" s="5"/>
      <c r="CS43" s="5"/>
      <c r="CT43" s="5"/>
      <c r="CU43" s="5"/>
      <c r="DE43" s="5"/>
    </row>
    <row r="44" spans="1:138" ht="9" customHeight="1">
      <c r="B44" s="5"/>
      <c r="C44" s="5"/>
      <c r="D44" s="5"/>
      <c r="E44" s="5"/>
      <c r="F44" s="5"/>
      <c r="G44" s="5"/>
      <c r="H44" s="5"/>
      <c r="I44" s="5"/>
      <c r="J44" s="5"/>
      <c r="CI44" s="198"/>
      <c r="CJ44" s="198"/>
      <c r="CK44" s="198"/>
      <c r="CL44" s="198"/>
      <c r="CM44" s="198"/>
      <c r="CN44" s="198"/>
      <c r="DE44" s="5"/>
    </row>
    <row r="45" spans="1:138" ht="14.25" customHeight="1">
      <c r="A45" s="209"/>
      <c r="B45" s="5"/>
      <c r="C45" s="5"/>
      <c r="D45" s="5"/>
      <c r="E45" s="5"/>
      <c r="F45" s="5"/>
      <c r="G45" s="5"/>
      <c r="H45" s="5"/>
      <c r="I45" s="5"/>
      <c r="J45" s="5"/>
      <c r="CI45" s="198"/>
      <c r="CJ45" s="198"/>
      <c r="CK45" s="198"/>
      <c r="CL45" s="198"/>
      <c r="CM45" s="198"/>
      <c r="CN45" s="198"/>
      <c r="CO45" s="5"/>
      <c r="CP45" s="5"/>
      <c r="CQ45" s="5"/>
      <c r="CR45" s="5"/>
      <c r="CS45" s="5"/>
      <c r="CT45" s="5"/>
      <c r="CU45" s="5"/>
      <c r="CV45" s="5"/>
      <c r="CW45" s="5"/>
      <c r="CX45" s="5"/>
    </row>
    <row r="46" spans="1:138" ht="14.25" customHeight="1">
      <c r="A46" s="208"/>
      <c r="B46" s="5"/>
      <c r="C46" s="5"/>
      <c r="D46" s="5"/>
      <c r="E46" s="5"/>
      <c r="F46" s="5"/>
      <c r="G46" s="5"/>
      <c r="H46" s="5"/>
      <c r="I46" s="5"/>
      <c r="J46" s="5"/>
    </row>
    <row r="47" spans="1:138">
      <c r="A47" s="23"/>
      <c r="B47" s="21"/>
      <c r="C47" s="21"/>
      <c r="D47" s="21"/>
      <c r="E47" s="21"/>
      <c r="F47" s="21"/>
      <c r="G47" s="21"/>
      <c r="H47" s="21"/>
      <c r="I47" s="21"/>
      <c r="J47" s="21"/>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DE47" s="5"/>
    </row>
    <row r="48" spans="1:138">
      <c r="A48" s="23"/>
      <c r="B48" s="21"/>
      <c r="C48" s="21"/>
      <c r="D48" s="21"/>
      <c r="E48" s="21"/>
      <c r="F48" s="21"/>
      <c r="G48" s="21"/>
      <c r="H48" s="21"/>
      <c r="I48" s="21"/>
      <c r="J48" s="21"/>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180"/>
      <c r="BE48" s="23"/>
      <c r="BF48" s="23"/>
      <c r="BG48" s="180"/>
      <c r="BH48" s="23"/>
      <c r="BI48" s="23"/>
      <c r="BJ48" s="180"/>
      <c r="BK48" s="23"/>
      <c r="BL48" s="23"/>
      <c r="BM48" s="180"/>
      <c r="BN48" s="23"/>
      <c r="BO48" s="23"/>
      <c r="BP48" s="23"/>
      <c r="BQ48" s="181"/>
      <c r="BR48" s="23"/>
      <c r="BS48" s="23"/>
      <c r="BT48" s="181"/>
      <c r="BU48" s="23"/>
      <c r="BV48" s="23"/>
      <c r="BW48" s="181"/>
      <c r="BX48" s="23"/>
      <c r="BY48" s="23"/>
      <c r="BZ48" s="181"/>
      <c r="CA48" s="23"/>
      <c r="CB48" s="23"/>
      <c r="CC48" s="23"/>
      <c r="CD48" s="180"/>
      <c r="CE48" s="23"/>
      <c r="CF48" s="23"/>
      <c r="CG48" s="180"/>
      <c r="CH48" s="23"/>
      <c r="CI48" s="23"/>
      <c r="CJ48" s="180"/>
      <c r="DE48" s="5"/>
    </row>
    <row r="49" spans="1:118" ht="13.5">
      <c r="A49" s="23"/>
      <c r="B49" s="21"/>
      <c r="C49" s="21"/>
      <c r="D49" s="21"/>
      <c r="E49" s="21"/>
      <c r="F49" s="21"/>
      <c r="G49" s="21"/>
      <c r="H49" s="21"/>
      <c r="I49" s="21"/>
      <c r="J49" s="21"/>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182"/>
      <c r="BE49" s="23"/>
      <c r="BF49" s="23"/>
      <c r="BG49" s="182"/>
      <c r="BH49" s="182"/>
      <c r="BI49" s="182"/>
      <c r="BJ49" s="182"/>
      <c r="BK49" s="182"/>
      <c r="BL49" s="182"/>
      <c r="BM49" s="182"/>
      <c r="BN49" s="182"/>
      <c r="BO49" s="182"/>
      <c r="BP49" s="182"/>
      <c r="BQ49" s="182"/>
      <c r="BR49" s="182"/>
      <c r="BS49" s="182"/>
      <c r="BT49" s="182"/>
      <c r="BU49" s="182"/>
      <c r="BV49" s="182"/>
      <c r="BW49" s="182"/>
      <c r="BX49" s="182"/>
      <c r="BY49" s="182"/>
      <c r="BZ49" s="182"/>
      <c r="CA49" s="182"/>
      <c r="CB49" s="182"/>
      <c r="CC49" s="182"/>
      <c r="CD49" s="182"/>
      <c r="CE49" s="182"/>
      <c r="CF49" s="182"/>
      <c r="CG49" s="182"/>
      <c r="CH49" s="182"/>
      <c r="CI49" s="182"/>
      <c r="CJ49" s="182"/>
      <c r="CQ49" s="257"/>
      <c r="CR49" s="202"/>
      <c r="CS49" s="202"/>
      <c r="CT49" s="257"/>
      <c r="CU49" s="202"/>
      <c r="CV49" s="202"/>
      <c r="CW49" s="257"/>
      <c r="CX49" s="202"/>
      <c r="CY49" s="202"/>
      <c r="CZ49" s="193"/>
      <c r="DA49" s="193"/>
      <c r="DB49" s="193"/>
      <c r="DC49" s="193"/>
      <c r="DD49" s="193"/>
      <c r="DE49" s="193"/>
      <c r="DF49" s="193"/>
      <c r="DG49" s="193"/>
      <c r="DH49" s="193"/>
      <c r="DI49" s="193"/>
      <c r="DJ49" s="193"/>
      <c r="DK49" s="193"/>
      <c r="DL49" s="193"/>
      <c r="DM49" s="193"/>
      <c r="DN49" s="6"/>
    </row>
    <row r="50" spans="1:118" ht="13.5">
      <c r="A50" s="23"/>
      <c r="B50" s="21"/>
      <c r="C50" s="21"/>
      <c r="D50" s="21"/>
      <c r="E50" s="21"/>
      <c r="F50" s="21"/>
      <c r="G50" s="21"/>
      <c r="H50" s="21"/>
      <c r="I50" s="21"/>
      <c r="J50" s="21"/>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Q50" s="256"/>
      <c r="CR50" s="202"/>
      <c r="CS50" s="202"/>
      <c r="CT50" s="256"/>
      <c r="CU50" s="202"/>
      <c r="CV50" s="202"/>
      <c r="CW50" s="256"/>
      <c r="CX50" s="202"/>
      <c r="CY50" s="202"/>
      <c r="CZ50" s="193"/>
      <c r="DA50" s="193"/>
      <c r="DB50" s="193"/>
      <c r="DC50" s="193"/>
      <c r="DD50" s="193"/>
      <c r="DE50" s="193"/>
      <c r="DF50" s="193"/>
      <c r="DG50" s="193"/>
      <c r="DH50" s="193"/>
      <c r="DI50" s="193"/>
      <c r="DJ50" s="193"/>
      <c r="DK50" s="193"/>
      <c r="DL50" s="193"/>
      <c r="DM50" s="193"/>
      <c r="DN50" s="6"/>
    </row>
    <row r="51" spans="1:118" ht="13.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Q51" s="255"/>
      <c r="CR51" s="202"/>
      <c r="CS51" s="202"/>
      <c r="CT51" s="255"/>
      <c r="CU51" s="202"/>
      <c r="CV51" s="202"/>
      <c r="CW51" s="255"/>
      <c r="CX51" s="202"/>
      <c r="CY51" s="202"/>
      <c r="CZ51" s="193"/>
      <c r="DA51" s="193"/>
      <c r="DB51" s="193"/>
      <c r="DC51" s="193"/>
      <c r="DD51" s="193"/>
      <c r="DE51" s="193"/>
      <c r="DF51" s="193"/>
      <c r="DG51" s="193"/>
      <c r="DH51" s="193"/>
      <c r="DI51" s="193"/>
      <c r="DJ51" s="193"/>
      <c r="DK51" s="193"/>
      <c r="DL51" s="193"/>
      <c r="DM51" s="193"/>
      <c r="DN51" s="6"/>
    </row>
    <row r="52" spans="1:118">
      <c r="CQ52" s="254"/>
      <c r="CR52" s="202"/>
      <c r="CS52" s="202"/>
      <c r="CT52" s="254"/>
      <c r="CU52" s="202"/>
      <c r="CV52" s="202"/>
      <c r="CW52" s="254"/>
      <c r="CX52" s="202"/>
      <c r="CY52" s="202"/>
      <c r="CZ52" s="193"/>
      <c r="DA52" s="193"/>
      <c r="DB52" s="193"/>
      <c r="DC52" s="193"/>
      <c r="DD52" s="193"/>
      <c r="DE52" s="193"/>
      <c r="DF52" s="193"/>
      <c r="DG52" s="193"/>
      <c r="DH52" s="193"/>
      <c r="DI52" s="193"/>
      <c r="DJ52" s="193"/>
      <c r="DK52" s="193"/>
      <c r="DL52" s="193"/>
      <c r="DM52" s="193"/>
      <c r="DN52" s="6"/>
    </row>
    <row r="53" spans="1:118">
      <c r="CQ53" s="254"/>
      <c r="CR53" s="202"/>
      <c r="CS53" s="202"/>
      <c r="CT53" s="254"/>
      <c r="CU53" s="202"/>
      <c r="CV53" s="202"/>
      <c r="CW53" s="254"/>
      <c r="CX53" s="202"/>
      <c r="CY53" s="202"/>
      <c r="CZ53" s="254"/>
      <c r="DA53" s="202"/>
      <c r="DB53" s="202"/>
      <c r="DC53" s="202"/>
      <c r="DD53" s="254"/>
      <c r="DE53" s="168"/>
      <c r="DF53" s="202"/>
      <c r="DG53" s="254"/>
      <c r="DH53" s="202"/>
      <c r="DI53" s="202"/>
      <c r="DJ53" s="254"/>
      <c r="DK53" s="202"/>
      <c r="DL53" s="202"/>
      <c r="DM53" s="202"/>
    </row>
    <row r="54" spans="1:118">
      <c r="CQ54" s="254"/>
      <c r="CR54" s="202"/>
      <c r="CS54" s="202"/>
      <c r="CT54" s="254"/>
      <c r="CU54" s="202"/>
      <c r="CV54" s="202"/>
      <c r="CW54" s="254"/>
      <c r="CX54" s="202"/>
      <c r="CY54" s="202"/>
      <c r="CZ54" s="254"/>
      <c r="DA54" s="202"/>
      <c r="DB54" s="202"/>
      <c r="DC54" s="202"/>
      <c r="DD54" s="254"/>
      <c r="DE54" s="202"/>
      <c r="DF54" s="202"/>
      <c r="DG54" s="254"/>
      <c r="DH54" s="202"/>
      <c r="DI54" s="202"/>
      <c r="DJ54" s="254"/>
      <c r="DK54" s="202"/>
      <c r="DL54" s="202"/>
      <c r="DM54" s="202"/>
    </row>
    <row r="55" spans="1:118">
      <c r="CQ55" s="202"/>
      <c r="CR55" s="202"/>
      <c r="CS55" s="202"/>
      <c r="CT55" s="202"/>
      <c r="CU55" s="202"/>
      <c r="CV55" s="202"/>
      <c r="CW55" s="202"/>
      <c r="CX55" s="202"/>
      <c r="CY55" s="202"/>
      <c r="CZ55" s="202"/>
      <c r="DA55" s="202"/>
      <c r="DB55" s="202"/>
      <c r="DC55" s="202"/>
      <c r="DD55" s="202"/>
      <c r="DE55" s="202"/>
      <c r="DF55" s="202"/>
      <c r="DG55" s="202"/>
      <c r="DH55" s="202"/>
      <c r="DI55" s="202"/>
      <c r="DJ55" s="202"/>
      <c r="DK55" s="202"/>
      <c r="DL55" s="202"/>
      <c r="DM55" s="202"/>
    </row>
    <row r="56" spans="1:118">
      <c r="CQ56" s="202"/>
      <c r="CR56" s="202"/>
      <c r="CS56" s="202"/>
      <c r="CT56" s="202"/>
      <c r="CU56" s="202"/>
      <c r="CV56" s="202"/>
      <c r="CW56" s="202"/>
      <c r="CX56" s="202"/>
      <c r="CY56" s="202"/>
      <c r="CZ56" s="202"/>
      <c r="DA56" s="202"/>
      <c r="DB56" s="202"/>
      <c r="DC56" s="202"/>
      <c r="DD56" s="202"/>
      <c r="DE56" s="202"/>
      <c r="DF56" s="202"/>
      <c r="DG56" s="202"/>
      <c r="DH56" s="202"/>
      <c r="DI56" s="202"/>
      <c r="DJ56" s="202"/>
      <c r="DK56" s="202"/>
      <c r="DL56" s="202"/>
      <c r="DM56" s="202"/>
    </row>
    <row r="132" spans="11:12">
      <c r="K132" s="15">
        <v>1376.0994860000001</v>
      </c>
      <c r="L132" s="19">
        <v>1574.719985</v>
      </c>
    </row>
  </sheetData>
  <dataConsolidate/>
  <mergeCells count="5">
    <mergeCell ref="A1:EN1"/>
    <mergeCell ref="A2:EN2"/>
    <mergeCell ref="A8:EN8"/>
    <mergeCell ref="A17:EN17"/>
    <mergeCell ref="A26:EN26"/>
  </mergeCells>
  <phoneticPr fontId="9" type="noConversion"/>
  <printOptions horizontalCentered="1"/>
  <pageMargins left="0.17" right="0.17" top="1" bottom="1" header="0.5" footer="0.5"/>
  <pageSetup scale="6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Real</vt:lpstr>
      <vt:lpstr>Mon</vt:lpstr>
      <vt:lpstr>Fis</vt:lpstr>
      <vt:lpstr>Ext</vt:lpstr>
      <vt:lpstr>Ext!Print_Area</vt:lpstr>
      <vt:lpstr>Fis!Print_Area</vt:lpstr>
      <vt:lpstr>Mon!Print_Area</vt:lpstr>
      <vt:lpstr>Real!Print_Area</vt:lpstr>
    </vt:vector>
  </TitlesOfParts>
  <Company>International Monetary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IMF Resident Representative</dc:creator>
  <cp:lastModifiedBy>Aleksanyan, Marina</cp:lastModifiedBy>
  <cp:lastPrinted>2017-09-04T11:10:27Z</cp:lastPrinted>
  <dcterms:created xsi:type="dcterms:W3CDTF">2007-09-17T07:09:17Z</dcterms:created>
  <dcterms:modified xsi:type="dcterms:W3CDTF">2017-09-04T11:11:26Z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A44787D4-0540-4523-9961-78E4036D8C6D}">
    <vt:lpwstr>{B0CF5C87-C2BF-4EFF-92E3-8F0EBDAEC8DE}</vt:lpwstr>
  </property>
</Properties>
</file>