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jdamgaard\Desktop\DQAF\"/>
    </mc:Choice>
  </mc:AlternateContent>
  <xr:revisionPtr revIDLastSave="0" documentId="13_ncr:1_{065877E2-1E52-46FE-B6AD-64279484B17E}" xr6:coauthVersionLast="47" xr6:coauthVersionMax="47" xr10:uidLastSave="{00000000-0000-0000-0000-000000000000}"/>
  <workbookProtection workbookAlgorithmName="SHA-512" workbookHashValue="bRrgmb2eTAX7S/0tunyfqFcc/JLFAMEMwibE+nH++HdH40oDQ0u7cNQYumW4PIIlUc8MUog9KWuVgS44ixM0lg==" workbookSaltValue="ErVTbbSG/sdDNzaOEtPrPQ==" workbookSpinCount="100000" lockStructure="1"/>
  <bookViews>
    <workbookView xWindow="-120" yWindow="-120" windowWidth="51840" windowHeight="21120" xr2:uid="{00000000-000D-0000-FFFF-FFFF00000000}"/>
  </bookViews>
  <sheets>
    <sheet name="DQAF_Input" sheetId="1" r:id="rId1"/>
    <sheet name="__lists" sheetId="2" state="hidden" r:id="rId2"/>
    <sheet name="__key" sheetId="3" state="hidden" r:id="rId3"/>
    <sheet name="__weights_indicator" sheetId="4" state="hidden" r:id="rId4"/>
    <sheet name="__weights_element" sheetId="5" state="hidden" r:id="rId5"/>
    <sheet name="__rbp_p" sheetId="6" state="hidden" r:id="rId6"/>
    <sheet name="Maturity by Indicator" sheetId="7" r:id="rId7"/>
    <sheet name="Maturity by Element" sheetId="8" r:id="rId8"/>
    <sheet name="Maturity by Dimension" sheetId="9" r:id="rId9"/>
    <sheet name="S&amp;C Not Relevant" sheetId="10" r:id="rId10"/>
    <sheet name="Draft Action Plan"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 l="1"/>
  <c r="J10" i="1"/>
  <c r="L7" i="8"/>
  <c r="J7" i="8"/>
  <c r="F7" i="8"/>
  <c r="B7" i="8"/>
  <c r="L6" i="8"/>
  <c r="J6" i="8"/>
  <c r="F6" i="8"/>
  <c r="B6" i="8"/>
  <c r="L5" i="8"/>
  <c r="J5" i="8"/>
  <c r="F5" i="8"/>
  <c r="B5" i="8"/>
  <c r="L4" i="8"/>
  <c r="J4" i="8"/>
  <c r="F4" i="8"/>
  <c r="B4" i="8"/>
  <c r="L3" i="8"/>
  <c r="J3" i="8"/>
  <c r="F3" i="8"/>
  <c r="B3" i="8"/>
  <c r="L2" i="8"/>
  <c r="J2" i="8"/>
  <c r="F2" i="8"/>
  <c r="B2" i="8"/>
  <c r="L17" i="7"/>
  <c r="J17" i="7"/>
  <c r="F17" i="7"/>
  <c r="B17" i="7"/>
  <c r="L16" i="7"/>
  <c r="J16" i="7"/>
  <c r="F16" i="7"/>
  <c r="B16" i="7"/>
  <c r="L15" i="7"/>
  <c r="J15" i="7"/>
  <c r="F15" i="7"/>
  <c r="B15" i="7"/>
  <c r="L14" i="7"/>
  <c r="J14" i="7"/>
  <c r="F14" i="7"/>
  <c r="B14" i="7"/>
  <c r="L13" i="7"/>
  <c r="J13" i="7"/>
  <c r="F13" i="7"/>
  <c r="B13" i="7"/>
  <c r="L12" i="7"/>
  <c r="J12" i="7"/>
  <c r="F12" i="7"/>
  <c r="B12" i="7"/>
  <c r="L11" i="7"/>
  <c r="J11" i="7"/>
  <c r="F11" i="7"/>
  <c r="B11" i="7"/>
  <c r="L10" i="7"/>
  <c r="J10" i="7"/>
  <c r="F10" i="7"/>
  <c r="B10" i="7"/>
  <c r="L9" i="7"/>
  <c r="J9" i="7"/>
  <c r="F9" i="7"/>
  <c r="B9" i="7"/>
  <c r="L8" i="7"/>
  <c r="J8" i="7"/>
  <c r="F8" i="7"/>
  <c r="B8" i="7"/>
  <c r="L7" i="7"/>
  <c r="J7" i="7"/>
  <c r="F7" i="7"/>
  <c r="B7" i="7"/>
  <c r="L6" i="7"/>
  <c r="J6" i="7"/>
  <c r="F6" i="7"/>
  <c r="B6" i="7"/>
  <c r="L5" i="7"/>
  <c r="J5" i="7"/>
  <c r="F5" i="7"/>
  <c r="B5" i="7"/>
  <c r="L4" i="7"/>
  <c r="J4" i="7"/>
  <c r="F4" i="7"/>
  <c r="B4" i="7"/>
  <c r="L3" i="7"/>
  <c r="J3" i="7"/>
  <c r="F3" i="7"/>
  <c r="B3" i="7"/>
  <c r="L2" i="7"/>
  <c r="J2" i="7"/>
  <c r="F2" i="7"/>
  <c r="B2" i="7"/>
  <c r="Z170" i="1"/>
  <c r="Y170" i="1"/>
  <c r="U170" i="1"/>
  <c r="M170" i="1"/>
  <c r="S170" i="1" s="1"/>
  <c r="J170" i="1"/>
  <c r="Y169" i="1"/>
  <c r="Z169" i="1" s="1"/>
  <c r="U169" i="1"/>
  <c r="M169" i="1"/>
  <c r="S169" i="1" s="1"/>
  <c r="J169" i="1"/>
  <c r="Y168" i="1"/>
  <c r="Z168" i="1" s="1"/>
  <c r="U168" i="1"/>
  <c r="M168" i="1"/>
  <c r="S168" i="1" s="1"/>
  <c r="J168" i="1"/>
  <c r="Y167" i="1"/>
  <c r="Z167" i="1" s="1"/>
  <c r="U167" i="1"/>
  <c r="M167" i="1"/>
  <c r="J167" i="1"/>
  <c r="AA167" i="1" s="1"/>
  <c r="Y166" i="1"/>
  <c r="Z166" i="1" s="1"/>
  <c r="U166" i="1"/>
  <c r="N166" i="1"/>
  <c r="M166" i="1"/>
  <c r="S166" i="1" s="1"/>
  <c r="J166" i="1"/>
  <c r="AF166" i="1" s="1"/>
  <c r="AG166" i="1" s="1"/>
  <c r="Y165" i="1"/>
  <c r="Z165" i="1" s="1"/>
  <c r="U165" i="1"/>
  <c r="M165" i="1"/>
  <c r="S165" i="1" s="1"/>
  <c r="J165" i="1"/>
  <c r="AE165" i="1" s="1"/>
  <c r="Y164" i="1"/>
  <c r="Z164" i="1" s="1"/>
  <c r="U164" i="1"/>
  <c r="M164" i="1"/>
  <c r="S164" i="1" s="1"/>
  <c r="J164" i="1"/>
  <c r="N164" i="1" s="1"/>
  <c r="Y162" i="1"/>
  <c r="Z162" i="1" s="1"/>
  <c r="U162" i="1"/>
  <c r="M162" i="1"/>
  <c r="S162" i="1" s="1"/>
  <c r="J162" i="1"/>
  <c r="N162" i="1" s="1"/>
  <c r="Y161" i="1"/>
  <c r="Z161" i="1" s="1"/>
  <c r="U161" i="1"/>
  <c r="M161" i="1"/>
  <c r="J161" i="1"/>
  <c r="N161" i="1" s="1"/>
  <c r="T161" i="1" s="1"/>
  <c r="Y160" i="1"/>
  <c r="Z160" i="1" s="1"/>
  <c r="U160" i="1"/>
  <c r="V160" i="1" s="1"/>
  <c r="W160" i="1" s="1"/>
  <c r="M160" i="1"/>
  <c r="J160" i="1"/>
  <c r="AA160" i="1" s="1"/>
  <c r="AF158" i="1"/>
  <c r="AG158" i="1" s="1"/>
  <c r="AE158" i="1"/>
  <c r="Y158" i="1"/>
  <c r="Z158" i="1" s="1"/>
  <c r="U158" i="1"/>
  <c r="M158" i="1"/>
  <c r="S158" i="1" s="1"/>
  <c r="J158" i="1"/>
  <c r="AA158" i="1" s="1"/>
  <c r="Y157" i="1"/>
  <c r="Z157" i="1" s="1"/>
  <c r="U157" i="1"/>
  <c r="M157" i="1"/>
  <c r="S157" i="1" s="1"/>
  <c r="J157" i="1"/>
  <c r="AF157" i="1" s="1"/>
  <c r="AG157" i="1" s="1"/>
  <c r="Y156" i="1"/>
  <c r="Z156" i="1" s="1"/>
  <c r="U156" i="1"/>
  <c r="M156" i="1"/>
  <c r="J156" i="1"/>
  <c r="Z155" i="1"/>
  <c r="Y155" i="1"/>
  <c r="U155" i="1"/>
  <c r="M155" i="1"/>
  <c r="S155" i="1" s="1"/>
  <c r="J155" i="1"/>
  <c r="Y154" i="1"/>
  <c r="Z154" i="1" s="1"/>
  <c r="U154" i="1"/>
  <c r="V158" i="1" s="1"/>
  <c r="W158" i="1" s="1"/>
  <c r="M154" i="1"/>
  <c r="S154" i="1" s="1"/>
  <c r="J154" i="1"/>
  <c r="AF154" i="1" s="1"/>
  <c r="AG154" i="1" s="1"/>
  <c r="Y152" i="1"/>
  <c r="Z152" i="1" s="1"/>
  <c r="U152" i="1"/>
  <c r="M152" i="1"/>
  <c r="S152" i="1" s="1"/>
  <c r="J152" i="1"/>
  <c r="AF152" i="1" s="1"/>
  <c r="AG152" i="1" s="1"/>
  <c r="Y151" i="1"/>
  <c r="Z151" i="1" s="1"/>
  <c r="U151" i="1"/>
  <c r="M151" i="1"/>
  <c r="J151" i="1"/>
  <c r="AA150" i="1"/>
  <c r="Y150" i="1"/>
  <c r="Z150" i="1" s="1"/>
  <c r="U150" i="1"/>
  <c r="M150" i="1"/>
  <c r="S150" i="1" s="1"/>
  <c r="J150" i="1"/>
  <c r="AE150" i="1" s="1"/>
  <c r="Y149" i="1"/>
  <c r="Z149" i="1" s="1"/>
  <c r="U149" i="1"/>
  <c r="M149" i="1"/>
  <c r="S149" i="1" s="1"/>
  <c r="J149" i="1"/>
  <c r="AF149" i="1" s="1"/>
  <c r="AG149" i="1" s="1"/>
  <c r="Y148" i="1"/>
  <c r="Z148" i="1" s="1"/>
  <c r="U148" i="1"/>
  <c r="M148" i="1"/>
  <c r="J148" i="1"/>
  <c r="AF147" i="1"/>
  <c r="AG147" i="1" s="1"/>
  <c r="Y147" i="1"/>
  <c r="Z147" i="1" s="1"/>
  <c r="U147" i="1"/>
  <c r="S147" i="1"/>
  <c r="M147" i="1"/>
  <c r="J147" i="1"/>
  <c r="Y146" i="1"/>
  <c r="Z146" i="1" s="1"/>
  <c r="U146" i="1"/>
  <c r="V149" i="1" s="1"/>
  <c r="W149" i="1" s="1"/>
  <c r="X149" i="1" s="1"/>
  <c r="M146" i="1"/>
  <c r="S146" i="1" s="1"/>
  <c r="J146" i="1"/>
  <c r="AF146" i="1" s="1"/>
  <c r="AG146" i="1" s="1"/>
  <c r="Y144" i="1"/>
  <c r="Z144" i="1" s="1"/>
  <c r="U144" i="1"/>
  <c r="M144" i="1"/>
  <c r="S144" i="1" s="1"/>
  <c r="J144" i="1"/>
  <c r="Y143" i="1"/>
  <c r="Z143" i="1" s="1"/>
  <c r="U143" i="1"/>
  <c r="M143" i="1"/>
  <c r="J143" i="1"/>
  <c r="AA143" i="1" s="1"/>
  <c r="Y142" i="1"/>
  <c r="Z142" i="1" s="1"/>
  <c r="U142" i="1"/>
  <c r="M142" i="1"/>
  <c r="S142" i="1" s="1"/>
  <c r="J142" i="1"/>
  <c r="AE142" i="1" s="1"/>
  <c r="Y141" i="1"/>
  <c r="Z141" i="1" s="1"/>
  <c r="U141" i="1"/>
  <c r="M141" i="1"/>
  <c r="S141" i="1" s="1"/>
  <c r="J141" i="1"/>
  <c r="Z140" i="1"/>
  <c r="Y140" i="1"/>
  <c r="U140" i="1"/>
  <c r="M140" i="1"/>
  <c r="J140" i="1"/>
  <c r="Y138" i="1"/>
  <c r="Z138" i="1" s="1"/>
  <c r="U138" i="1"/>
  <c r="M138" i="1"/>
  <c r="S138" i="1" s="1"/>
  <c r="J138" i="1"/>
  <c r="Y137" i="1"/>
  <c r="Z137" i="1" s="1"/>
  <c r="U137" i="1"/>
  <c r="M137" i="1"/>
  <c r="S137" i="1" s="1"/>
  <c r="J137" i="1"/>
  <c r="AF137" i="1" s="1"/>
  <c r="AG137" i="1" s="1"/>
  <c r="Z136" i="1"/>
  <c r="Y136" i="1"/>
  <c r="U136" i="1"/>
  <c r="M136" i="1"/>
  <c r="S136" i="1" s="1"/>
  <c r="J136" i="1"/>
  <c r="AE136" i="1" s="1"/>
  <c r="Y135" i="1"/>
  <c r="Z135" i="1" s="1"/>
  <c r="U135" i="1"/>
  <c r="M135" i="1"/>
  <c r="J135" i="1"/>
  <c r="AA135" i="1" s="1"/>
  <c r="AA134" i="1"/>
  <c r="Y134" i="1"/>
  <c r="Z134" i="1" s="1"/>
  <c r="U134" i="1"/>
  <c r="V138" i="1" s="1"/>
  <c r="W138" i="1" s="1"/>
  <c r="X138" i="1" s="1"/>
  <c r="M134" i="1"/>
  <c r="S134" i="1" s="1"/>
  <c r="J134" i="1"/>
  <c r="AE134" i="1" s="1"/>
  <c r="Y133" i="1"/>
  <c r="Z133" i="1" s="1"/>
  <c r="U133" i="1"/>
  <c r="M133" i="1"/>
  <c r="S133" i="1" s="1"/>
  <c r="J133" i="1"/>
  <c r="Z132" i="1"/>
  <c r="Y132" i="1"/>
  <c r="U132" i="1"/>
  <c r="M132" i="1"/>
  <c r="J132" i="1"/>
  <c r="Y131" i="1"/>
  <c r="Z131" i="1" s="1"/>
  <c r="U131" i="1"/>
  <c r="S131" i="1"/>
  <c r="M131" i="1"/>
  <c r="J131" i="1"/>
  <c r="Y130" i="1"/>
  <c r="Z130" i="1" s="1"/>
  <c r="U130" i="1"/>
  <c r="M130" i="1"/>
  <c r="S130" i="1" s="1"/>
  <c r="J130" i="1"/>
  <c r="AF130" i="1" s="1"/>
  <c r="AG130" i="1" s="1"/>
  <c r="Y129" i="1"/>
  <c r="Z129" i="1" s="1"/>
  <c r="U129" i="1"/>
  <c r="M129" i="1"/>
  <c r="S129" i="1" s="1"/>
  <c r="J129" i="1"/>
  <c r="AE129" i="1" s="1"/>
  <c r="Y127" i="1"/>
  <c r="Z127" i="1" s="1"/>
  <c r="U127" i="1"/>
  <c r="M127" i="1"/>
  <c r="J127" i="1"/>
  <c r="AA127" i="1" s="1"/>
  <c r="AF126" i="1"/>
  <c r="AG126" i="1" s="1"/>
  <c r="Y126" i="1"/>
  <c r="Z126" i="1" s="1"/>
  <c r="U126" i="1"/>
  <c r="M126" i="1"/>
  <c r="S126" i="1" s="1"/>
  <c r="J126" i="1"/>
  <c r="AE126" i="1" s="1"/>
  <c r="Y125" i="1"/>
  <c r="Z125" i="1" s="1"/>
  <c r="U125" i="1"/>
  <c r="M125" i="1"/>
  <c r="S125" i="1" s="1"/>
  <c r="J125" i="1"/>
  <c r="Z124" i="1"/>
  <c r="Y124" i="1"/>
  <c r="U124" i="1"/>
  <c r="M124" i="1"/>
  <c r="J124" i="1"/>
  <c r="AF124" i="1" s="1"/>
  <c r="AG124" i="1" s="1"/>
  <c r="Y123" i="1"/>
  <c r="Z123" i="1" s="1"/>
  <c r="U123" i="1"/>
  <c r="M123" i="1"/>
  <c r="S123" i="1" s="1"/>
  <c r="J123" i="1"/>
  <c r="AE123" i="1" s="1"/>
  <c r="Y122" i="1"/>
  <c r="Z122" i="1" s="1"/>
  <c r="U122" i="1"/>
  <c r="M122" i="1"/>
  <c r="S122" i="1" s="1"/>
  <c r="J122" i="1"/>
  <c r="AE122" i="1" s="1"/>
  <c r="Y121" i="1"/>
  <c r="Z121" i="1" s="1"/>
  <c r="U121" i="1"/>
  <c r="M121" i="1"/>
  <c r="S121" i="1" s="1"/>
  <c r="J121" i="1"/>
  <c r="AE121" i="1" s="1"/>
  <c r="Y120" i="1"/>
  <c r="Z120" i="1" s="1"/>
  <c r="U120" i="1"/>
  <c r="M120" i="1"/>
  <c r="J120" i="1"/>
  <c r="AA120" i="1" s="1"/>
  <c r="Y119" i="1"/>
  <c r="Z119" i="1" s="1"/>
  <c r="U119" i="1"/>
  <c r="S119" i="1"/>
  <c r="M119" i="1"/>
  <c r="J119" i="1"/>
  <c r="AE119" i="1" s="1"/>
  <c r="Y118" i="1"/>
  <c r="Z118" i="1" s="1"/>
  <c r="U118" i="1"/>
  <c r="M118" i="1"/>
  <c r="S118" i="1" s="1"/>
  <c r="J118" i="1"/>
  <c r="AE118" i="1" s="1"/>
  <c r="AF117" i="1"/>
  <c r="AG117" i="1" s="1"/>
  <c r="AE117" i="1"/>
  <c r="Y117" i="1"/>
  <c r="Z117" i="1" s="1"/>
  <c r="U117" i="1"/>
  <c r="N117" i="1"/>
  <c r="T117" i="1" s="1"/>
  <c r="M117" i="1"/>
  <c r="J117" i="1"/>
  <c r="AA117" i="1" s="1"/>
  <c r="Y116" i="1"/>
  <c r="Z116" i="1" s="1"/>
  <c r="U116" i="1"/>
  <c r="S116" i="1"/>
  <c r="M116" i="1"/>
  <c r="J116" i="1"/>
  <c r="AE116" i="1" s="1"/>
  <c r="Y115" i="1"/>
  <c r="Z115" i="1" s="1"/>
  <c r="U115" i="1"/>
  <c r="M115" i="1"/>
  <c r="S115" i="1" s="1"/>
  <c r="J115" i="1"/>
  <c r="AA114" i="1"/>
  <c r="Y114" i="1"/>
  <c r="Z114" i="1" s="1"/>
  <c r="U114" i="1"/>
  <c r="M114" i="1"/>
  <c r="S114" i="1" s="1"/>
  <c r="J114" i="1"/>
  <c r="AE114" i="1" s="1"/>
  <c r="Y113" i="1"/>
  <c r="Z113" i="1" s="1"/>
  <c r="U113" i="1"/>
  <c r="M113" i="1"/>
  <c r="S113" i="1" s="1"/>
  <c r="J113" i="1"/>
  <c r="Y112" i="1"/>
  <c r="Z112" i="1" s="1"/>
  <c r="U112" i="1"/>
  <c r="N112" i="1"/>
  <c r="M112" i="1"/>
  <c r="S112" i="1" s="1"/>
  <c r="J112" i="1"/>
  <c r="AE112" i="1" s="1"/>
  <c r="Y111" i="1"/>
  <c r="Z111" i="1" s="1"/>
  <c r="U111" i="1"/>
  <c r="M111" i="1"/>
  <c r="S111" i="1" s="1"/>
  <c r="J111" i="1"/>
  <c r="AE111" i="1" s="1"/>
  <c r="Y110" i="1"/>
  <c r="Z110" i="1" s="1"/>
  <c r="U110" i="1"/>
  <c r="M110" i="1"/>
  <c r="J110" i="1"/>
  <c r="Y108" i="1"/>
  <c r="Z108" i="1" s="1"/>
  <c r="U108" i="1"/>
  <c r="N108" i="1"/>
  <c r="T108" i="1" s="1"/>
  <c r="M108" i="1"/>
  <c r="S108" i="1" s="1"/>
  <c r="J108" i="1"/>
  <c r="AF108" i="1" s="1"/>
  <c r="AG108" i="1" s="1"/>
  <c r="Y107" i="1"/>
  <c r="Z107" i="1" s="1"/>
  <c r="U107" i="1"/>
  <c r="M107" i="1"/>
  <c r="S107" i="1" s="1"/>
  <c r="J107" i="1"/>
  <c r="AE107" i="1" s="1"/>
  <c r="Y106" i="1"/>
  <c r="Z106" i="1" s="1"/>
  <c r="U106" i="1"/>
  <c r="M106" i="1"/>
  <c r="S106" i="1" s="1"/>
  <c r="J106" i="1"/>
  <c r="N106" i="1" s="1"/>
  <c r="T106" i="1" s="1"/>
  <c r="AE105" i="1"/>
  <c r="Y105" i="1"/>
  <c r="Z105" i="1" s="1"/>
  <c r="U105" i="1"/>
  <c r="N105" i="1"/>
  <c r="T105" i="1" s="1"/>
  <c r="M105" i="1"/>
  <c r="S105" i="1" s="1"/>
  <c r="J105" i="1"/>
  <c r="AA105" i="1" s="1"/>
  <c r="Y104" i="1"/>
  <c r="Z104" i="1" s="1"/>
  <c r="U104" i="1"/>
  <c r="M104" i="1"/>
  <c r="S104" i="1" s="1"/>
  <c r="J104" i="1"/>
  <c r="AE104" i="1" s="1"/>
  <c r="Y103" i="1"/>
  <c r="Z103" i="1" s="1"/>
  <c r="U103" i="1"/>
  <c r="M103" i="1"/>
  <c r="S103" i="1" s="1"/>
  <c r="J103" i="1"/>
  <c r="AA103" i="1" s="1"/>
  <c r="AF102" i="1"/>
  <c r="AG102" i="1" s="1"/>
  <c r="AE102" i="1"/>
  <c r="Y102" i="1"/>
  <c r="Z102" i="1" s="1"/>
  <c r="U102" i="1"/>
  <c r="M102" i="1"/>
  <c r="J102" i="1"/>
  <c r="AA102" i="1" s="1"/>
  <c r="AA101" i="1"/>
  <c r="Y101" i="1"/>
  <c r="Z101" i="1" s="1"/>
  <c r="U101" i="1"/>
  <c r="M101" i="1"/>
  <c r="S101" i="1" s="1"/>
  <c r="J101" i="1"/>
  <c r="AF101" i="1" s="1"/>
  <c r="AG101" i="1" s="1"/>
  <c r="Y100" i="1"/>
  <c r="Z100" i="1" s="1"/>
  <c r="U100" i="1"/>
  <c r="M100" i="1"/>
  <c r="J100" i="1"/>
  <c r="N100" i="1" s="1"/>
  <c r="Y99" i="1"/>
  <c r="Z99" i="1" s="1"/>
  <c r="U99" i="1"/>
  <c r="M99" i="1"/>
  <c r="S99" i="1" s="1"/>
  <c r="J99" i="1"/>
  <c r="AE99" i="1" s="1"/>
  <c r="Y98" i="1"/>
  <c r="Z98" i="1" s="1"/>
  <c r="U98" i="1"/>
  <c r="M98" i="1"/>
  <c r="S98" i="1" s="1"/>
  <c r="J98" i="1"/>
  <c r="AA98" i="1" s="1"/>
  <c r="Y97" i="1"/>
  <c r="Z97" i="1" s="1"/>
  <c r="U97" i="1"/>
  <c r="M97" i="1"/>
  <c r="S97" i="1" s="1"/>
  <c r="J97" i="1"/>
  <c r="Y95" i="1"/>
  <c r="Z95" i="1" s="1"/>
  <c r="U95" i="1"/>
  <c r="S95" i="1"/>
  <c r="M95" i="1"/>
  <c r="J95" i="1"/>
  <c r="Y94" i="1"/>
  <c r="Z94" i="1" s="1"/>
  <c r="U94" i="1"/>
  <c r="M94" i="1"/>
  <c r="S94" i="1" s="1"/>
  <c r="J94" i="1"/>
  <c r="Y93" i="1"/>
  <c r="Z93" i="1" s="1"/>
  <c r="U93" i="1"/>
  <c r="M93" i="1"/>
  <c r="S93" i="1" s="1"/>
  <c r="J93" i="1"/>
  <c r="AF93" i="1" s="1"/>
  <c r="AG93" i="1" s="1"/>
  <c r="AF92" i="1"/>
  <c r="AG92" i="1" s="1"/>
  <c r="AE92" i="1"/>
  <c r="Y92" i="1"/>
  <c r="Z92" i="1" s="1"/>
  <c r="U92" i="1"/>
  <c r="N92" i="1"/>
  <c r="M92" i="1"/>
  <c r="J92" i="1"/>
  <c r="AA92" i="1" s="1"/>
  <c r="Y91" i="1"/>
  <c r="Z91" i="1" s="1"/>
  <c r="V91" i="1"/>
  <c r="W91" i="1" s="1"/>
  <c r="U91" i="1"/>
  <c r="M91" i="1"/>
  <c r="S91" i="1" s="1"/>
  <c r="J91" i="1"/>
  <c r="N91" i="1" s="1"/>
  <c r="AA90" i="1"/>
  <c r="Y90" i="1"/>
  <c r="Z90" i="1" s="1"/>
  <c r="U90" i="1"/>
  <c r="M90" i="1"/>
  <c r="J90" i="1"/>
  <c r="AF90" i="1" s="1"/>
  <c r="AG90" i="1" s="1"/>
  <c r="Y88" i="1"/>
  <c r="Z88" i="1" s="1"/>
  <c r="U88" i="1"/>
  <c r="M88" i="1"/>
  <c r="J88" i="1"/>
  <c r="Y87" i="1"/>
  <c r="Z87" i="1" s="1"/>
  <c r="U87" i="1"/>
  <c r="M87" i="1"/>
  <c r="S87" i="1" s="1"/>
  <c r="J87" i="1"/>
  <c r="Y86" i="1"/>
  <c r="Z86" i="1" s="1"/>
  <c r="U86" i="1"/>
  <c r="M86" i="1"/>
  <c r="S86" i="1" s="1"/>
  <c r="J86" i="1"/>
  <c r="Y85" i="1"/>
  <c r="Z85" i="1" s="1"/>
  <c r="U85" i="1"/>
  <c r="M85" i="1"/>
  <c r="S85" i="1" s="1"/>
  <c r="J85" i="1"/>
  <c r="AF85" i="1" s="1"/>
  <c r="AG85" i="1" s="1"/>
  <c r="Y84" i="1"/>
  <c r="Z84" i="1" s="1"/>
  <c r="U84" i="1"/>
  <c r="M84" i="1"/>
  <c r="S84" i="1" s="1"/>
  <c r="J84" i="1"/>
  <c r="AF84" i="1" s="1"/>
  <c r="AG84" i="1" s="1"/>
  <c r="Y82" i="1"/>
  <c r="Z82" i="1" s="1"/>
  <c r="U82" i="1"/>
  <c r="M82" i="1"/>
  <c r="S82" i="1" s="1"/>
  <c r="J82" i="1"/>
  <c r="AF82" i="1" s="1"/>
  <c r="AG82" i="1" s="1"/>
  <c r="AA81" i="1"/>
  <c r="Y81" i="1"/>
  <c r="Z81" i="1" s="1"/>
  <c r="U81" i="1"/>
  <c r="N81" i="1"/>
  <c r="M81" i="1"/>
  <c r="J81" i="1"/>
  <c r="AF81" i="1" s="1"/>
  <c r="AG81" i="1" s="1"/>
  <c r="Y80" i="1"/>
  <c r="Z80" i="1" s="1"/>
  <c r="U80" i="1"/>
  <c r="M80" i="1"/>
  <c r="J80" i="1"/>
  <c r="Y79" i="1"/>
  <c r="Z79" i="1" s="1"/>
  <c r="U79" i="1"/>
  <c r="M79" i="1"/>
  <c r="S79" i="1" s="1"/>
  <c r="J79" i="1"/>
  <c r="Y78" i="1"/>
  <c r="Z78" i="1" s="1"/>
  <c r="U78" i="1"/>
  <c r="M78" i="1"/>
  <c r="S78" i="1" s="1"/>
  <c r="J78" i="1"/>
  <c r="Y77" i="1"/>
  <c r="Z77" i="1" s="1"/>
  <c r="U77" i="1"/>
  <c r="M77" i="1"/>
  <c r="S77" i="1" s="1"/>
  <c r="J77" i="1"/>
  <c r="AF77" i="1" s="1"/>
  <c r="AG77" i="1" s="1"/>
  <c r="Y76" i="1"/>
  <c r="Z76" i="1" s="1"/>
  <c r="U76" i="1"/>
  <c r="M76" i="1"/>
  <c r="J76" i="1"/>
  <c r="N76" i="1" s="1"/>
  <c r="AF75" i="1"/>
  <c r="AG75" i="1" s="1"/>
  <c r="AE75" i="1"/>
  <c r="Y75" i="1"/>
  <c r="Z75" i="1" s="1"/>
  <c r="U75" i="1"/>
  <c r="M75" i="1"/>
  <c r="S75" i="1" s="1"/>
  <c r="J75" i="1"/>
  <c r="AA75" i="1" s="1"/>
  <c r="Y74" i="1"/>
  <c r="Z74" i="1" s="1"/>
  <c r="U74" i="1"/>
  <c r="M74" i="1"/>
  <c r="J74" i="1"/>
  <c r="AA74" i="1" s="1"/>
  <c r="Y73" i="1"/>
  <c r="Z73" i="1" s="1"/>
  <c r="U73" i="1"/>
  <c r="M73" i="1"/>
  <c r="J73" i="1"/>
  <c r="AE73" i="1" s="1"/>
  <c r="Y72" i="1"/>
  <c r="Z72" i="1" s="1"/>
  <c r="U72" i="1"/>
  <c r="M72" i="1"/>
  <c r="S72" i="1" s="1"/>
  <c r="J72" i="1"/>
  <c r="Y70" i="1"/>
  <c r="Z70" i="1" s="1"/>
  <c r="U70" i="1"/>
  <c r="M70" i="1"/>
  <c r="S70" i="1" s="1"/>
  <c r="J70" i="1"/>
  <c r="AE70" i="1" s="1"/>
  <c r="Y69" i="1"/>
  <c r="Z69" i="1" s="1"/>
  <c r="U69" i="1"/>
  <c r="M69" i="1"/>
  <c r="S69" i="1" s="1"/>
  <c r="J69" i="1"/>
  <c r="AF69" i="1" s="1"/>
  <c r="AG69" i="1" s="1"/>
  <c r="AA68" i="1"/>
  <c r="Y68" i="1"/>
  <c r="Z68" i="1" s="1"/>
  <c r="U68" i="1"/>
  <c r="M68" i="1"/>
  <c r="J68" i="1"/>
  <c r="N68" i="1" s="1"/>
  <c r="Y67" i="1"/>
  <c r="Z67" i="1" s="1"/>
  <c r="U67" i="1"/>
  <c r="M67" i="1"/>
  <c r="J67" i="1"/>
  <c r="AE67" i="1" s="1"/>
  <c r="AE66" i="1"/>
  <c r="AA66" i="1"/>
  <c r="Y66" i="1"/>
  <c r="Z66" i="1" s="1"/>
  <c r="U66" i="1"/>
  <c r="N66" i="1"/>
  <c r="M66" i="1"/>
  <c r="J66" i="1"/>
  <c r="AF66" i="1" s="1"/>
  <c r="AG66" i="1" s="1"/>
  <c r="Y65" i="1"/>
  <c r="Z65" i="1" s="1"/>
  <c r="U65" i="1"/>
  <c r="M65" i="1"/>
  <c r="J65" i="1"/>
  <c r="AE65" i="1" s="1"/>
  <c r="Y64" i="1"/>
  <c r="Z64" i="1" s="1"/>
  <c r="U64" i="1"/>
  <c r="M64" i="1"/>
  <c r="S64" i="1" s="1"/>
  <c r="J64" i="1"/>
  <c r="AA64" i="1" s="1"/>
  <c r="Y63" i="1"/>
  <c r="Z63" i="1" s="1"/>
  <c r="U63" i="1"/>
  <c r="M63" i="1"/>
  <c r="S63" i="1" s="1"/>
  <c r="J63" i="1"/>
  <c r="AA62" i="1"/>
  <c r="Y62" i="1"/>
  <c r="Z62" i="1" s="1"/>
  <c r="U62" i="1"/>
  <c r="M62" i="1"/>
  <c r="J62" i="1"/>
  <c r="AF62" i="1" s="1"/>
  <c r="AG62" i="1" s="1"/>
  <c r="Y61" i="1"/>
  <c r="Z61" i="1" s="1"/>
  <c r="U61" i="1"/>
  <c r="M61" i="1"/>
  <c r="J61" i="1"/>
  <c r="AE61" i="1" s="1"/>
  <c r="Y60" i="1"/>
  <c r="Z60" i="1" s="1"/>
  <c r="U60" i="1"/>
  <c r="M60" i="1"/>
  <c r="J60" i="1"/>
  <c r="AA60" i="1" s="1"/>
  <c r="Y58" i="1"/>
  <c r="Z58" i="1" s="1"/>
  <c r="U58" i="1"/>
  <c r="N58" i="1"/>
  <c r="M58" i="1"/>
  <c r="S58" i="1" s="1"/>
  <c r="J58" i="1"/>
  <c r="AA58" i="1" s="1"/>
  <c r="AE57" i="1"/>
  <c r="Y57" i="1"/>
  <c r="Z57" i="1" s="1"/>
  <c r="U57" i="1"/>
  <c r="M57" i="1"/>
  <c r="J57" i="1"/>
  <c r="Y56" i="1"/>
  <c r="Z56" i="1" s="1"/>
  <c r="U56" i="1"/>
  <c r="M56" i="1"/>
  <c r="S56" i="1" s="1"/>
  <c r="J56" i="1"/>
  <c r="AA56" i="1" s="1"/>
  <c r="Y55" i="1"/>
  <c r="Z55" i="1" s="1"/>
  <c r="U55" i="1"/>
  <c r="M55" i="1"/>
  <c r="S55" i="1" s="1"/>
  <c r="J55" i="1"/>
  <c r="AE55" i="1" s="1"/>
  <c r="Y54" i="1"/>
  <c r="Z54" i="1" s="1"/>
  <c r="U54" i="1"/>
  <c r="M54" i="1"/>
  <c r="J54" i="1"/>
  <c r="AE54" i="1" s="1"/>
  <c r="Y53" i="1"/>
  <c r="Z53" i="1" s="1"/>
  <c r="U53" i="1"/>
  <c r="M53" i="1"/>
  <c r="S53" i="1" s="1"/>
  <c r="J53" i="1"/>
  <c r="AF53" i="1" s="1"/>
  <c r="AG53" i="1" s="1"/>
  <c r="Y52" i="1"/>
  <c r="Z52" i="1" s="1"/>
  <c r="U52" i="1"/>
  <c r="M52" i="1"/>
  <c r="S52" i="1" s="1"/>
  <c r="J52" i="1"/>
  <c r="AF52" i="1" s="1"/>
  <c r="AG52" i="1" s="1"/>
  <c r="AF51" i="1"/>
  <c r="AG51" i="1" s="1"/>
  <c r="AE51" i="1"/>
  <c r="Y51" i="1"/>
  <c r="Z51" i="1" s="1"/>
  <c r="U51" i="1"/>
  <c r="M51" i="1"/>
  <c r="J51" i="1"/>
  <c r="N51" i="1" s="1"/>
  <c r="Y50" i="1"/>
  <c r="Z50" i="1" s="1"/>
  <c r="U50" i="1"/>
  <c r="M50" i="1"/>
  <c r="J50" i="1"/>
  <c r="AA50" i="1" s="1"/>
  <c r="Y49" i="1"/>
  <c r="Z49" i="1" s="1"/>
  <c r="U49" i="1"/>
  <c r="M49" i="1"/>
  <c r="S49" i="1" s="1"/>
  <c r="J49" i="1"/>
  <c r="AA49" i="1" s="1"/>
  <c r="Y48" i="1"/>
  <c r="Z48" i="1" s="1"/>
  <c r="U48" i="1"/>
  <c r="M48" i="1"/>
  <c r="S48" i="1" s="1"/>
  <c r="J48" i="1"/>
  <c r="AF48" i="1" s="1"/>
  <c r="AG48" i="1" s="1"/>
  <c r="Y47" i="1"/>
  <c r="Z47" i="1" s="1"/>
  <c r="U47" i="1"/>
  <c r="M47" i="1"/>
  <c r="J47" i="1"/>
  <c r="AA47" i="1" s="1"/>
  <c r="Y46" i="1"/>
  <c r="Z46" i="1" s="1"/>
  <c r="U46" i="1"/>
  <c r="N46" i="1"/>
  <c r="T46" i="1" s="1"/>
  <c r="M46" i="1"/>
  <c r="S46" i="1" s="1"/>
  <c r="J46" i="1"/>
  <c r="AA46" i="1" s="1"/>
  <c r="Y45" i="1"/>
  <c r="Z45" i="1" s="1"/>
  <c r="U45" i="1"/>
  <c r="M45" i="1"/>
  <c r="S45" i="1" s="1"/>
  <c r="J45" i="1"/>
  <c r="AF45" i="1" s="1"/>
  <c r="AG45" i="1" s="1"/>
  <c r="Y43" i="1"/>
  <c r="Z43" i="1" s="1"/>
  <c r="U43" i="1"/>
  <c r="N43" i="1"/>
  <c r="T43" i="1" s="1"/>
  <c r="M43" i="1"/>
  <c r="J43" i="1"/>
  <c r="AF43" i="1" s="1"/>
  <c r="AG43" i="1" s="1"/>
  <c r="Y42" i="1"/>
  <c r="Z42" i="1" s="1"/>
  <c r="U42" i="1"/>
  <c r="M42" i="1"/>
  <c r="S42" i="1" s="1"/>
  <c r="J42" i="1"/>
  <c r="AF42" i="1" s="1"/>
  <c r="AG42" i="1" s="1"/>
  <c r="Y41" i="1"/>
  <c r="Z41" i="1" s="1"/>
  <c r="U41" i="1"/>
  <c r="M41" i="1"/>
  <c r="S41" i="1" s="1"/>
  <c r="J41" i="1"/>
  <c r="AA41" i="1" s="1"/>
  <c r="Y40" i="1"/>
  <c r="Z40" i="1" s="1"/>
  <c r="U40" i="1"/>
  <c r="M40" i="1"/>
  <c r="S40" i="1" s="1"/>
  <c r="J40" i="1"/>
  <c r="N40" i="1" s="1"/>
  <c r="T40" i="1" s="1"/>
  <c r="AA39" i="1"/>
  <c r="Y39" i="1"/>
  <c r="Z39" i="1" s="1"/>
  <c r="U39" i="1"/>
  <c r="M39" i="1"/>
  <c r="S39" i="1" s="1"/>
  <c r="J39" i="1"/>
  <c r="AF39" i="1" s="1"/>
  <c r="AG39" i="1" s="1"/>
  <c r="Y38" i="1"/>
  <c r="Z38" i="1" s="1"/>
  <c r="U38" i="1"/>
  <c r="N38" i="1"/>
  <c r="M38" i="1"/>
  <c r="J38" i="1"/>
  <c r="AE38" i="1" s="1"/>
  <c r="Y37" i="1"/>
  <c r="Z37" i="1" s="1"/>
  <c r="U37" i="1"/>
  <c r="M37" i="1"/>
  <c r="J37" i="1"/>
  <c r="AF37" i="1" s="1"/>
  <c r="AG37" i="1" s="1"/>
  <c r="AG35" i="1"/>
  <c r="Z35" i="1"/>
  <c r="Y35" i="1"/>
  <c r="U35" i="1"/>
  <c r="M35" i="1"/>
  <c r="J35" i="1"/>
  <c r="AF35" i="1" s="1"/>
  <c r="Y34" i="1"/>
  <c r="Z34" i="1" s="1"/>
  <c r="U34" i="1"/>
  <c r="M34" i="1"/>
  <c r="S34" i="1" s="1"/>
  <c r="J34" i="1"/>
  <c r="AA34" i="1" s="1"/>
  <c r="Z33" i="1"/>
  <c r="Y33" i="1"/>
  <c r="U33" i="1"/>
  <c r="M33" i="1"/>
  <c r="S33" i="1" s="1"/>
  <c r="J33" i="1"/>
  <c r="AA33" i="1" s="1"/>
  <c r="Y32" i="1"/>
  <c r="Z32" i="1" s="1"/>
  <c r="U32" i="1"/>
  <c r="N32" i="1"/>
  <c r="T32" i="1" s="1"/>
  <c r="M32" i="1"/>
  <c r="S32" i="1" s="1"/>
  <c r="J32" i="1"/>
  <c r="AF32" i="1" s="1"/>
  <c r="AG32" i="1" s="1"/>
  <c r="Y31" i="1"/>
  <c r="Z31" i="1" s="1"/>
  <c r="U31" i="1"/>
  <c r="M31" i="1"/>
  <c r="J31" i="1"/>
  <c r="AF31" i="1" s="1"/>
  <c r="AG31" i="1" s="1"/>
  <c r="Y30" i="1"/>
  <c r="Z30" i="1" s="1"/>
  <c r="U30" i="1"/>
  <c r="M30" i="1"/>
  <c r="S30" i="1" s="1"/>
  <c r="J30" i="1"/>
  <c r="AE30" i="1" s="1"/>
  <c r="AA29" i="1"/>
  <c r="Y29" i="1"/>
  <c r="Z29" i="1" s="1"/>
  <c r="U29" i="1"/>
  <c r="M29" i="1"/>
  <c r="J29" i="1"/>
  <c r="AE29" i="1" s="1"/>
  <c r="Y28" i="1"/>
  <c r="Z28" i="1" s="1"/>
  <c r="U28" i="1"/>
  <c r="M28" i="1"/>
  <c r="S28" i="1" s="1"/>
  <c r="J28" i="1"/>
  <c r="AF28" i="1" s="1"/>
  <c r="AG28" i="1" s="1"/>
  <c r="Y27" i="1"/>
  <c r="Z27" i="1" s="1"/>
  <c r="U27" i="1"/>
  <c r="M27" i="1"/>
  <c r="S27" i="1" s="1"/>
  <c r="J27" i="1"/>
  <c r="AA27" i="1" s="1"/>
  <c r="Y26" i="1"/>
  <c r="Z26" i="1" s="1"/>
  <c r="U26" i="1"/>
  <c r="M26" i="1"/>
  <c r="S26" i="1" s="1"/>
  <c r="J26" i="1"/>
  <c r="AF24" i="1"/>
  <c r="AG24" i="1" s="1"/>
  <c r="AA24" i="1"/>
  <c r="Y24" i="1"/>
  <c r="Z24" i="1" s="1"/>
  <c r="U24" i="1"/>
  <c r="S24" i="1"/>
  <c r="N24" i="1"/>
  <c r="T24" i="1" s="1"/>
  <c r="M24" i="1"/>
  <c r="J24" i="1"/>
  <c r="AE24" i="1" s="1"/>
  <c r="Z23" i="1"/>
  <c r="Y23" i="1"/>
  <c r="U23" i="1"/>
  <c r="M23" i="1"/>
  <c r="J23" i="1"/>
  <c r="AF22" i="1"/>
  <c r="AG22" i="1" s="1"/>
  <c r="AE22" i="1"/>
  <c r="AA22" i="1"/>
  <c r="Y22" i="1"/>
  <c r="Z22" i="1" s="1"/>
  <c r="U22" i="1"/>
  <c r="N22" i="1"/>
  <c r="M22" i="1"/>
  <c r="J22" i="1"/>
  <c r="AE21" i="1"/>
  <c r="AA21" i="1"/>
  <c r="Z21" i="1"/>
  <c r="Y21" i="1"/>
  <c r="U21" i="1"/>
  <c r="N21" i="1"/>
  <c r="T21" i="1" s="1"/>
  <c r="M21" i="1"/>
  <c r="J21" i="1"/>
  <c r="AF21" i="1" s="1"/>
  <c r="AG21" i="1" s="1"/>
  <c r="AF20" i="1"/>
  <c r="AG20" i="1" s="1"/>
  <c r="Z20" i="1"/>
  <c r="Y20" i="1"/>
  <c r="U20" i="1"/>
  <c r="M20" i="1"/>
  <c r="J20" i="1"/>
  <c r="AE19" i="1"/>
  <c r="Z19" i="1"/>
  <c r="Y19" i="1"/>
  <c r="U19" i="1"/>
  <c r="S19" i="1"/>
  <c r="N19" i="1"/>
  <c r="M19" i="1"/>
  <c r="J19" i="1"/>
  <c r="AA19" i="1" s="1"/>
  <c r="Z18" i="1"/>
  <c r="Y18" i="1"/>
  <c r="U18" i="1"/>
  <c r="S18" i="1"/>
  <c r="M18" i="1"/>
  <c r="J18" i="1"/>
  <c r="AA17" i="1"/>
  <c r="Z17" i="1"/>
  <c r="Y17" i="1"/>
  <c r="U17" i="1"/>
  <c r="T17" i="1"/>
  <c r="S17" i="1"/>
  <c r="N17" i="1"/>
  <c r="M17" i="1"/>
  <c r="J17" i="1"/>
  <c r="AF17" i="1" s="1"/>
  <c r="AG17" i="1" s="1"/>
  <c r="AF16" i="1"/>
  <c r="AG16" i="1" s="1"/>
  <c r="AE16" i="1"/>
  <c r="Z16" i="1"/>
  <c r="Y16" i="1"/>
  <c r="U16" i="1"/>
  <c r="M16" i="1"/>
  <c r="S16" i="1" s="1"/>
  <c r="J16" i="1"/>
  <c r="AA16" i="1" s="1"/>
  <c r="AG15" i="1"/>
  <c r="AF15" i="1"/>
  <c r="AE15" i="1"/>
  <c r="AA15" i="1"/>
  <c r="Y15" i="1"/>
  <c r="Z15" i="1" s="1"/>
  <c r="U15" i="1"/>
  <c r="N15" i="1"/>
  <c r="T15" i="1" s="1"/>
  <c r="M15" i="1"/>
  <c r="J15" i="1"/>
  <c r="AF14" i="1"/>
  <c r="AG14" i="1" s="1"/>
  <c r="AE14" i="1"/>
  <c r="Y14" i="1"/>
  <c r="Z14" i="1" s="1"/>
  <c r="U14" i="1"/>
  <c r="M14" i="1"/>
  <c r="S14" i="1" s="1"/>
  <c r="J14" i="1"/>
  <c r="AA14" i="1" s="1"/>
  <c r="AF13" i="1"/>
  <c r="AG13" i="1" s="1"/>
  <c r="AE13" i="1"/>
  <c r="Y13" i="1"/>
  <c r="Z13" i="1" s="1"/>
  <c r="U13" i="1"/>
  <c r="M13" i="1"/>
  <c r="J13" i="1"/>
  <c r="AA13" i="1" s="1"/>
  <c r="AF12" i="1"/>
  <c r="AG12" i="1" s="1"/>
  <c r="AE12" i="1"/>
  <c r="Y12" i="1"/>
  <c r="Z12" i="1" s="1"/>
  <c r="U12" i="1"/>
  <c r="S12" i="1"/>
  <c r="M12" i="1"/>
  <c r="J12" i="1"/>
  <c r="AA12" i="1" s="1"/>
  <c r="AA11" i="1"/>
  <c r="Y11" i="1"/>
  <c r="Z11" i="1" s="1"/>
  <c r="U11" i="1"/>
  <c r="S11" i="1"/>
  <c r="N11" i="1"/>
  <c r="M11" i="1"/>
  <c r="J11" i="1"/>
  <c r="AE11" i="1" s="1"/>
  <c r="AF10" i="1"/>
  <c r="AG10" i="1" s="1"/>
  <c r="AE10" i="1"/>
  <c r="AA10" i="1"/>
  <c r="Y10" i="1"/>
  <c r="Z10" i="1" s="1"/>
  <c r="U10" i="1"/>
  <c r="V8" i="1" s="1"/>
  <c r="W8" i="1" s="1"/>
  <c r="X8" i="1" s="1"/>
  <c r="N10" i="1"/>
  <c r="T10" i="1" s="1"/>
  <c r="M10" i="1"/>
  <c r="S10" i="1" s="1"/>
  <c r="AE9" i="1"/>
  <c r="AA9" i="1"/>
  <c r="Z9" i="1"/>
  <c r="Y9" i="1"/>
  <c r="U9" i="1"/>
  <c r="S9" i="1"/>
  <c r="M9" i="1"/>
  <c r="J9" i="1"/>
  <c r="AF8" i="1"/>
  <c r="AG8" i="1" s="1"/>
  <c r="AE8" i="1"/>
  <c r="Y8" i="1"/>
  <c r="Z8" i="1" s="1"/>
  <c r="U8" i="1"/>
  <c r="S8" i="1"/>
  <c r="N8" i="1"/>
  <c r="T8" i="1" s="1"/>
  <c r="M8" i="1"/>
  <c r="J8" i="1"/>
  <c r="AA8" i="1" s="1"/>
  <c r="AF7" i="1"/>
  <c r="AG7" i="1" s="1"/>
  <c r="AA7" i="1"/>
  <c r="Y7" i="1"/>
  <c r="Z7" i="1" s="1"/>
  <c r="U7" i="1"/>
  <c r="T7" i="1"/>
  <c r="N7" i="1"/>
  <c r="M7" i="1"/>
  <c r="J7" i="1"/>
  <c r="AE7" i="1" s="1"/>
  <c r="Y6" i="1"/>
  <c r="Z6" i="1" s="1"/>
  <c r="U6" i="1"/>
  <c r="V20" i="1" s="1"/>
  <c r="W20" i="1" s="1"/>
  <c r="M6" i="1"/>
  <c r="S6" i="1" s="1"/>
  <c r="J6" i="1"/>
  <c r="AE6" i="1" s="1"/>
  <c r="Y5" i="1"/>
  <c r="Z5" i="1" s="1"/>
  <c r="U5" i="1"/>
  <c r="S5" i="1"/>
  <c r="N5" i="1"/>
  <c r="M5" i="1"/>
  <c r="AA5" i="1"/>
  <c r="Z4" i="1"/>
  <c r="Y4" i="1"/>
  <c r="U4" i="1"/>
  <c r="S4" i="1"/>
  <c r="M4" i="1"/>
  <c r="J4" i="1"/>
  <c r="AF4" i="1" s="1"/>
  <c r="AG4" i="1" s="1"/>
  <c r="N167" i="1" l="1"/>
  <c r="V168" i="1"/>
  <c r="W168" i="1" s="1"/>
  <c r="X168" i="1" s="1"/>
  <c r="AA165" i="1"/>
  <c r="V164" i="1"/>
  <c r="W164" i="1" s="1"/>
  <c r="X164" i="1" s="1"/>
  <c r="N160" i="1"/>
  <c r="AF160" i="1"/>
  <c r="AG160" i="1" s="1"/>
  <c r="AE160" i="1"/>
  <c r="X158" i="1"/>
  <c r="AE154" i="1"/>
  <c r="N158" i="1"/>
  <c r="T158" i="1" s="1"/>
  <c r="AA152" i="1"/>
  <c r="V146" i="1"/>
  <c r="W146" i="1" s="1"/>
  <c r="X146" i="1" s="1"/>
  <c r="AE146" i="1"/>
  <c r="V141" i="1"/>
  <c r="W141" i="1" s="1"/>
  <c r="X141" i="1" s="1"/>
  <c r="AA142" i="1"/>
  <c r="AF142" i="1"/>
  <c r="AG142" i="1" s="1"/>
  <c r="N142" i="1"/>
  <c r="T142" i="1" s="1"/>
  <c r="V135" i="1"/>
  <c r="W135" i="1" s="1"/>
  <c r="X135" i="1" s="1"/>
  <c r="AA129" i="1"/>
  <c r="N129" i="1"/>
  <c r="T129" i="1" s="1"/>
  <c r="AA136" i="1"/>
  <c r="N126" i="1"/>
  <c r="N116" i="1"/>
  <c r="AF123" i="1"/>
  <c r="AG123" i="1" s="1"/>
  <c r="V119" i="1"/>
  <c r="W119" i="1" s="1"/>
  <c r="X119" i="1" s="1"/>
  <c r="AA118" i="1"/>
  <c r="AA121" i="1"/>
  <c r="V112" i="1"/>
  <c r="W112" i="1" s="1"/>
  <c r="X112" i="1" s="1"/>
  <c r="N114" i="1"/>
  <c r="T114" i="1" s="1"/>
  <c r="AF116" i="1"/>
  <c r="AG116" i="1" s="1"/>
  <c r="AA108" i="1"/>
  <c r="AE108" i="1"/>
  <c r="AA107" i="1"/>
  <c r="V90" i="1"/>
  <c r="W90" i="1" s="1"/>
  <c r="X90" i="1" s="1"/>
  <c r="N84" i="1"/>
  <c r="V88" i="1"/>
  <c r="W88" i="1" s="1"/>
  <c r="X88" i="1" s="1"/>
  <c r="AA84" i="1"/>
  <c r="AE84" i="1"/>
  <c r="AA85" i="1"/>
  <c r="AE85" i="1"/>
  <c r="N74" i="1"/>
  <c r="AE81" i="1"/>
  <c r="AE76" i="1"/>
  <c r="AA76" i="1"/>
  <c r="AE74" i="1"/>
  <c r="AF76" i="1"/>
  <c r="AG76" i="1" s="1"/>
  <c r="AF74" i="1"/>
  <c r="AG74" i="1" s="1"/>
  <c r="AE60" i="1"/>
  <c r="AF60" i="1"/>
  <c r="AG60" i="1" s="1"/>
  <c r="AE68" i="1"/>
  <c r="AA69" i="1"/>
  <c r="AF61" i="1"/>
  <c r="AG61" i="1" s="1"/>
  <c r="AE69" i="1"/>
  <c r="AA61" i="1"/>
  <c r="AA67" i="1"/>
  <c r="N60" i="1"/>
  <c r="T60" i="1" s="1"/>
  <c r="AA51" i="1"/>
  <c r="N52" i="1"/>
  <c r="V41" i="1"/>
  <c r="W41" i="1" s="1"/>
  <c r="X41" i="1" s="1"/>
  <c r="AE39" i="1"/>
  <c r="AF38" i="1"/>
  <c r="AG38" i="1" s="1"/>
  <c r="N28" i="1"/>
  <c r="V33" i="1"/>
  <c r="W33" i="1" s="1"/>
  <c r="X33" i="1" s="1"/>
  <c r="V11" i="1"/>
  <c r="W11" i="1" s="1"/>
  <c r="X11" i="1" s="1"/>
  <c r="V13" i="1"/>
  <c r="W13" i="1" s="1"/>
  <c r="X13" i="1" s="1"/>
  <c r="V167" i="1"/>
  <c r="W167" i="1" s="1"/>
  <c r="X167" i="1" s="1"/>
  <c r="V165" i="1"/>
  <c r="W165" i="1" s="1"/>
  <c r="X165" i="1" s="1"/>
  <c r="AE167" i="1"/>
  <c r="V169" i="1"/>
  <c r="W169" i="1" s="1"/>
  <c r="X169" i="1" s="1"/>
  <c r="V166" i="1"/>
  <c r="W166" i="1" s="1"/>
  <c r="X166" i="1" s="1"/>
  <c r="V170" i="1"/>
  <c r="W170" i="1" s="1"/>
  <c r="X170" i="1" s="1"/>
  <c r="N165" i="1"/>
  <c r="T165" i="1" s="1"/>
  <c r="V162" i="1"/>
  <c r="W162" i="1" s="1"/>
  <c r="X162" i="1" s="1"/>
  <c r="AA162" i="1"/>
  <c r="AB161" i="1" s="1"/>
  <c r="AC161" i="1" s="1"/>
  <c r="AD161" i="1" s="1"/>
  <c r="V161" i="1"/>
  <c r="W161" i="1" s="1"/>
  <c r="X161" i="1" s="1"/>
  <c r="AA161" i="1"/>
  <c r="AF161" i="1"/>
  <c r="AG161" i="1" s="1"/>
  <c r="V155" i="1"/>
  <c r="W155" i="1" s="1"/>
  <c r="X155" i="1" s="1"/>
  <c r="V154" i="1"/>
  <c r="W154" i="1" s="1"/>
  <c r="X154" i="1" s="1"/>
  <c r="V156" i="1"/>
  <c r="W156" i="1" s="1"/>
  <c r="X156" i="1" s="1"/>
  <c r="V157" i="1"/>
  <c r="W157" i="1" s="1"/>
  <c r="X157" i="1" s="1"/>
  <c r="AF150" i="1"/>
  <c r="AG150" i="1" s="1"/>
  <c r="V148" i="1"/>
  <c r="W148" i="1" s="1"/>
  <c r="X148" i="1" s="1"/>
  <c r="N150" i="1"/>
  <c r="N143" i="1"/>
  <c r="AF143" i="1"/>
  <c r="AG143" i="1" s="1"/>
  <c r="V144" i="1"/>
  <c r="W144" i="1" s="1"/>
  <c r="X144" i="1" s="1"/>
  <c r="V142" i="1"/>
  <c r="W142" i="1" s="1"/>
  <c r="X142" i="1" s="1"/>
  <c r="AE137" i="1"/>
  <c r="V130" i="1"/>
  <c r="W130" i="1" s="1"/>
  <c r="X130" i="1" s="1"/>
  <c r="N134" i="1"/>
  <c r="T134" i="1" s="1"/>
  <c r="AF134" i="1"/>
  <c r="AG134" i="1" s="1"/>
  <c r="AE130" i="1"/>
  <c r="V116" i="1"/>
  <c r="W116" i="1" s="1"/>
  <c r="X116" i="1" s="1"/>
  <c r="V126" i="1"/>
  <c r="W126" i="1" s="1"/>
  <c r="X126" i="1" s="1"/>
  <c r="AA112" i="1"/>
  <c r="AF112" i="1"/>
  <c r="AG112" i="1" s="1"/>
  <c r="AF114" i="1"/>
  <c r="AG114" i="1" s="1"/>
  <c r="AF119" i="1"/>
  <c r="AG119" i="1" s="1"/>
  <c r="N118" i="1"/>
  <c r="T118" i="1" s="1"/>
  <c r="AA119" i="1"/>
  <c r="AA116" i="1"/>
  <c r="AA126" i="1"/>
  <c r="V127" i="1"/>
  <c r="W127" i="1" s="1"/>
  <c r="X127" i="1" s="1"/>
  <c r="AF118" i="1"/>
  <c r="AG118" i="1" s="1"/>
  <c r="V115" i="1"/>
  <c r="W115" i="1" s="1"/>
  <c r="X115" i="1" s="1"/>
  <c r="N119" i="1"/>
  <c r="AF127" i="1"/>
  <c r="AG127" i="1" s="1"/>
  <c r="V107" i="1"/>
  <c r="W107" i="1" s="1"/>
  <c r="X107" i="1" s="1"/>
  <c r="AE101" i="1"/>
  <c r="N104" i="1"/>
  <c r="T104" i="1" s="1"/>
  <c r="N98" i="1"/>
  <c r="T98" i="1" s="1"/>
  <c r="AF100" i="1"/>
  <c r="AG100" i="1" s="1"/>
  <c r="AA104" i="1"/>
  <c r="AF104" i="1"/>
  <c r="AG104" i="1" s="1"/>
  <c r="N101" i="1"/>
  <c r="AE91" i="1"/>
  <c r="AF91" i="1"/>
  <c r="AG91" i="1" s="1"/>
  <c r="V94" i="1"/>
  <c r="W94" i="1" s="1"/>
  <c r="X94" i="1" s="1"/>
  <c r="AA93" i="1"/>
  <c r="N90" i="1"/>
  <c r="T90" i="1" s="1"/>
  <c r="AA91" i="1"/>
  <c r="AE90" i="1"/>
  <c r="V86" i="1"/>
  <c r="W86" i="1" s="1"/>
  <c r="X86" i="1" s="1"/>
  <c r="AE77" i="1"/>
  <c r="N82" i="1"/>
  <c r="AA82" i="1"/>
  <c r="AA77" i="1"/>
  <c r="V80" i="1"/>
  <c r="W80" i="1" s="1"/>
  <c r="X80" i="1" s="1"/>
  <c r="AE82" i="1"/>
  <c r="V81" i="1"/>
  <c r="W81" i="1" s="1"/>
  <c r="X81" i="1" s="1"/>
  <c r="N75" i="1"/>
  <c r="T75" i="1" s="1"/>
  <c r="AE62" i="1"/>
  <c r="N67" i="1"/>
  <c r="N61" i="1"/>
  <c r="T61" i="1" s="1"/>
  <c r="V60" i="1"/>
  <c r="W60" i="1" s="1"/>
  <c r="X60" i="1" s="1"/>
  <c r="AF68" i="1"/>
  <c r="AG68" i="1" s="1"/>
  <c r="AF67" i="1"/>
  <c r="AG67" i="1" s="1"/>
  <c r="AE46" i="1"/>
  <c r="AA52" i="1"/>
  <c r="AE58" i="1"/>
  <c r="AF46" i="1"/>
  <c r="AG46" i="1" s="1"/>
  <c r="AA48" i="1"/>
  <c r="AE52" i="1"/>
  <c r="AF58" i="1"/>
  <c r="AG58" i="1" s="1"/>
  <c r="AE48" i="1"/>
  <c r="AA54" i="1"/>
  <c r="N53" i="1"/>
  <c r="V52" i="1"/>
  <c r="W52" i="1" s="1"/>
  <c r="X52" i="1" s="1"/>
  <c r="AA53" i="1"/>
  <c r="AA55" i="1"/>
  <c r="AE53" i="1"/>
  <c r="N48" i="1"/>
  <c r="T48" i="1" s="1"/>
  <c r="V37" i="1"/>
  <c r="W37" i="1" s="1"/>
  <c r="X37" i="1" s="1"/>
  <c r="V39" i="1"/>
  <c r="W39" i="1" s="1"/>
  <c r="X39" i="1" s="1"/>
  <c r="AA38" i="1"/>
  <c r="AF40" i="1"/>
  <c r="AG40" i="1" s="1"/>
  <c r="AF30" i="1"/>
  <c r="AG30" i="1" s="1"/>
  <c r="V26" i="1"/>
  <c r="W26" i="1" s="1"/>
  <c r="X26" i="1" s="1"/>
  <c r="AA32" i="1"/>
  <c r="AE34" i="1"/>
  <c r="N35" i="1"/>
  <c r="N27" i="1"/>
  <c r="V31" i="1"/>
  <c r="W31" i="1" s="1"/>
  <c r="X31" i="1" s="1"/>
  <c r="V27" i="1"/>
  <c r="W27" i="1" s="1"/>
  <c r="X27" i="1" s="1"/>
  <c r="AF29" i="1"/>
  <c r="AG29" i="1" s="1"/>
  <c r="AE27" i="1"/>
  <c r="AA31" i="1"/>
  <c r="AA35" i="1"/>
  <c r="N30" i="1"/>
  <c r="T30" i="1" s="1"/>
  <c r="AE35" i="1"/>
  <c r="AA30" i="1"/>
  <c r="V65" i="1"/>
  <c r="W65" i="1" s="1"/>
  <c r="X65" i="1" s="1"/>
  <c r="S73" i="1"/>
  <c r="S37" i="1"/>
  <c r="S61" i="1"/>
  <c r="AF63" i="1"/>
  <c r="AG63" i="1" s="1"/>
  <c r="N63" i="1"/>
  <c r="AE63" i="1"/>
  <c r="AA63" i="1"/>
  <c r="AA110" i="1"/>
  <c r="AF110" i="1"/>
  <c r="AG110" i="1" s="1"/>
  <c r="AE110" i="1"/>
  <c r="N110" i="1"/>
  <c r="V97" i="1"/>
  <c r="W97" i="1" s="1"/>
  <c r="X97" i="1" s="1"/>
  <c r="V100" i="1"/>
  <c r="W100" i="1" s="1"/>
  <c r="X100" i="1" s="1"/>
  <c r="T126" i="1"/>
  <c r="T22" i="1"/>
  <c r="S35" i="1"/>
  <c r="V73" i="1"/>
  <c r="W73" i="1" s="1"/>
  <c r="X73" i="1" s="1"/>
  <c r="T162" i="1"/>
  <c r="T166" i="1"/>
  <c r="V105" i="1"/>
  <c r="W105" i="1" s="1"/>
  <c r="X105" i="1" s="1"/>
  <c r="T35" i="1"/>
  <c r="N13" i="1"/>
  <c r="T81" i="1"/>
  <c r="T160" i="1"/>
  <c r="AA37" i="1"/>
  <c r="N37" i="1"/>
  <c r="AA140" i="1"/>
  <c r="AE140" i="1"/>
  <c r="AF140" i="1"/>
  <c r="AG140" i="1" s="1"/>
  <c r="N140" i="1"/>
  <c r="N14" i="1"/>
  <c r="S15" i="1"/>
  <c r="S13" i="1"/>
  <c r="V16" i="1"/>
  <c r="W16" i="1" s="1"/>
  <c r="X16" i="1" s="1"/>
  <c r="AF9" i="1"/>
  <c r="AG9" i="1" s="1"/>
  <c r="N9" i="1"/>
  <c r="V14" i="1"/>
  <c r="W14" i="1" s="1"/>
  <c r="X14" i="1" s="1"/>
  <c r="S22" i="1"/>
  <c r="T27" i="1"/>
  <c r="AE5" i="1"/>
  <c r="N12" i="1"/>
  <c r="AF19" i="1"/>
  <c r="AG19" i="1" s="1"/>
  <c r="S21" i="1"/>
  <c r="AF26" i="1"/>
  <c r="AG26" i="1" s="1"/>
  <c r="N26" i="1"/>
  <c r="AE26" i="1"/>
  <c r="AA26" i="1"/>
  <c r="V30" i="1"/>
  <c r="W30" i="1" s="1"/>
  <c r="X30" i="1" s="1"/>
  <c r="V35" i="1"/>
  <c r="W35" i="1" s="1"/>
  <c r="X35" i="1" s="1"/>
  <c r="V29" i="1"/>
  <c r="W29" i="1" s="1"/>
  <c r="X29" i="1" s="1"/>
  <c r="V28" i="1"/>
  <c r="W28" i="1" s="1"/>
  <c r="X28" i="1" s="1"/>
  <c r="V34" i="1"/>
  <c r="W34" i="1" s="1"/>
  <c r="X34" i="1" s="1"/>
  <c r="S29" i="1"/>
  <c r="AE43" i="1"/>
  <c r="AA43" i="1"/>
  <c r="AE45" i="1"/>
  <c r="T5" i="1"/>
  <c r="V6" i="1"/>
  <c r="W6" i="1" s="1"/>
  <c r="X6" i="1" s="1"/>
  <c r="T116" i="1"/>
  <c r="AE37" i="1"/>
  <c r="AA4" i="1"/>
  <c r="AF5" i="1"/>
  <c r="AG5" i="1" s="1"/>
  <c r="N20" i="1"/>
  <c r="AE20" i="1"/>
  <c r="AA20" i="1"/>
  <c r="N29" i="1"/>
  <c r="S43" i="1"/>
  <c r="T19" i="1"/>
  <c r="V7" i="1"/>
  <c r="W7" i="1" s="1"/>
  <c r="X7" i="1" s="1"/>
  <c r="AA42" i="1"/>
  <c r="AE42" i="1"/>
  <c r="AA45" i="1"/>
  <c r="N45" i="1"/>
  <c r="V4" i="1"/>
  <c r="W4" i="1" s="1"/>
  <c r="X4" i="1" s="1"/>
  <c r="V23" i="1"/>
  <c r="W23" i="1" s="1"/>
  <c r="X23" i="1" s="1"/>
  <c r="S7" i="1"/>
  <c r="E2" i="7" s="1"/>
  <c r="G2" i="7" s="1"/>
  <c r="X20" i="1"/>
  <c r="S62" i="1"/>
  <c r="T101" i="1"/>
  <c r="AF18" i="1"/>
  <c r="AG18" i="1" s="1"/>
  <c r="N18" i="1"/>
  <c r="AE18" i="1"/>
  <c r="AA18" i="1"/>
  <c r="AF133" i="1"/>
  <c r="AG133" i="1" s="1"/>
  <c r="N133" i="1"/>
  <c r="AE133" i="1"/>
  <c r="AA133" i="1"/>
  <c r="V24" i="1"/>
  <c r="W24" i="1" s="1"/>
  <c r="X24" i="1" s="1"/>
  <c r="V17" i="1"/>
  <c r="W17" i="1" s="1"/>
  <c r="X17" i="1" s="1"/>
  <c r="V18" i="1"/>
  <c r="W18" i="1" s="1"/>
  <c r="X18" i="1" s="1"/>
  <c r="V22" i="1"/>
  <c r="W22" i="1" s="1"/>
  <c r="X22" i="1" s="1"/>
  <c r="V5" i="1"/>
  <c r="W5" i="1" s="1"/>
  <c r="X5" i="1" s="1"/>
  <c r="V15" i="1"/>
  <c r="W15" i="1" s="1"/>
  <c r="X15" i="1" s="1"/>
  <c r="AA23" i="1"/>
  <c r="AF23" i="1"/>
  <c r="AG23" i="1" s="1"/>
  <c r="N23" i="1"/>
  <c r="AE23" i="1"/>
  <c r="T28" i="1"/>
  <c r="N16" i="1"/>
  <c r="A163" i="10"/>
  <c r="A149" i="10"/>
  <c r="A135" i="10"/>
  <c r="A121" i="10"/>
  <c r="A107" i="10"/>
  <c r="A116" i="10"/>
  <c r="A102" i="10"/>
  <c r="A88" i="10"/>
  <c r="A169" i="10"/>
  <c r="A151" i="10"/>
  <c r="A128" i="10"/>
  <c r="A105" i="10"/>
  <c r="A100" i="10"/>
  <c r="A95" i="10"/>
  <c r="A90" i="10"/>
  <c r="A85" i="10"/>
  <c r="A80" i="10"/>
  <c r="A75" i="10"/>
  <c r="A61" i="10"/>
  <c r="A47" i="10"/>
  <c r="A33" i="10"/>
  <c r="A19" i="10"/>
  <c r="A5" i="10"/>
  <c r="A157" i="10"/>
  <c r="A145" i="10"/>
  <c r="A139" i="10"/>
  <c r="A122" i="10"/>
  <c r="A110" i="10"/>
  <c r="A70" i="10"/>
  <c r="A56" i="10"/>
  <c r="A42" i="10"/>
  <c r="A28" i="10"/>
  <c r="A14" i="10"/>
  <c r="A162" i="10"/>
  <c r="A155" i="10"/>
  <c r="A142" i="10"/>
  <c r="A114" i="10"/>
  <c r="A108" i="10"/>
  <c r="A96" i="10"/>
  <c r="A84" i="10"/>
  <c r="A78" i="10"/>
  <c r="A62" i="10"/>
  <c r="A40" i="10"/>
  <c r="A24" i="10"/>
  <c r="A18" i="10"/>
  <c r="A2" i="10"/>
  <c r="A161" i="10"/>
  <c r="A148" i="10"/>
  <c r="A141" i="10"/>
  <c r="A120" i="10"/>
  <c r="A67" i="10"/>
  <c r="A45" i="10"/>
  <c r="A29" i="10"/>
  <c r="A23" i="10"/>
  <c r="A7" i="10"/>
  <c r="A168" i="10"/>
  <c r="A134" i="10"/>
  <c r="A127" i="10"/>
  <c r="A101" i="10"/>
  <c r="A89" i="10"/>
  <c r="A83" i="10"/>
  <c r="A72" i="10"/>
  <c r="A50" i="10"/>
  <c r="A34" i="10"/>
  <c r="A12" i="10"/>
  <c r="A154" i="10"/>
  <c r="A133" i="10"/>
  <c r="A126" i="10"/>
  <c r="A113" i="10"/>
  <c r="A77" i="10"/>
  <c r="A55" i="10"/>
  <c r="A39" i="10"/>
  <c r="A17" i="10"/>
  <c r="A167" i="10"/>
  <c r="A160" i="10"/>
  <c r="A147" i="10"/>
  <c r="A140" i="10"/>
  <c r="A119" i="10"/>
  <c r="A106" i="10"/>
  <c r="A94" i="10"/>
  <c r="A66" i="10"/>
  <c r="A60" i="10"/>
  <c r="A44" i="10"/>
  <c r="A22" i="10"/>
  <c r="A6" i="10"/>
  <c r="A166" i="10"/>
  <c r="A153" i="10"/>
  <c r="A146" i="10"/>
  <c r="A125" i="10"/>
  <c r="A82" i="10"/>
  <c r="A71" i="10"/>
  <c r="A65" i="10"/>
  <c r="A49" i="10"/>
  <c r="A27" i="10"/>
  <c r="A11" i="10"/>
  <c r="A132" i="10"/>
  <c r="A112" i="10"/>
  <c r="A99" i="10"/>
  <c r="A76" i="10"/>
  <c r="A54" i="10"/>
  <c r="A38" i="10"/>
  <c r="A32" i="10"/>
  <c r="A16" i="10"/>
  <c r="A159" i="10"/>
  <c r="A138" i="10"/>
  <c r="A131" i="10"/>
  <c r="A118" i="10"/>
  <c r="A111" i="10"/>
  <c r="A93" i="10"/>
  <c r="A87" i="10"/>
  <c r="A59" i="10"/>
  <c r="A43" i="10"/>
  <c r="A37" i="10"/>
  <c r="A21" i="10"/>
  <c r="A165" i="10"/>
  <c r="A152" i="10"/>
  <c r="A144" i="10"/>
  <c r="A124" i="10"/>
  <c r="A104" i="10"/>
  <c r="A81" i="10"/>
  <c r="A64" i="10"/>
  <c r="A48" i="10"/>
  <c r="A26" i="10"/>
  <c r="A10" i="10"/>
  <c r="A4" i="10"/>
  <c r="A158" i="10"/>
  <c r="A130" i="10"/>
  <c r="A98" i="10"/>
  <c r="A92" i="10"/>
  <c r="A69" i="10"/>
  <c r="A53" i="10"/>
  <c r="A31" i="10"/>
  <c r="A15" i="10"/>
  <c r="A9" i="10"/>
  <c r="A150" i="10"/>
  <c r="A137" i="10"/>
  <c r="A117" i="10"/>
  <c r="A86" i="10"/>
  <c r="A74" i="10"/>
  <c r="A58" i="10"/>
  <c r="A36" i="10"/>
  <c r="A20" i="10"/>
  <c r="A164" i="10"/>
  <c r="A156" i="10"/>
  <c r="A143" i="10"/>
  <c r="A136" i="10"/>
  <c r="A123" i="10"/>
  <c r="A115" i="10"/>
  <c r="A109" i="10"/>
  <c r="A103" i="10"/>
  <c r="A97" i="10"/>
  <c r="A63" i="10"/>
  <c r="A41" i="10"/>
  <c r="A25" i="10"/>
  <c r="A3" i="10"/>
  <c r="A129" i="10"/>
  <c r="A46" i="10"/>
  <c r="A8" i="10"/>
  <c r="A170" i="10"/>
  <c r="A79" i="10"/>
  <c r="A73" i="10"/>
  <c r="A35" i="10"/>
  <c r="A68" i="10"/>
  <c r="A30" i="10"/>
  <c r="A91" i="10"/>
  <c r="A57" i="10"/>
  <c r="A52" i="10"/>
  <c r="A51" i="10"/>
  <c r="A13" i="10"/>
  <c r="AA6" i="1"/>
  <c r="N6" i="1"/>
  <c r="AF6" i="1"/>
  <c r="AG6" i="1" s="1"/>
  <c r="V10" i="1"/>
  <c r="W10" i="1" s="1"/>
  <c r="X10" i="1" s="1"/>
  <c r="T11" i="1"/>
  <c r="S20" i="1"/>
  <c r="V21" i="1"/>
  <c r="W21" i="1" s="1"/>
  <c r="X21" i="1" s="1"/>
  <c r="V66" i="1"/>
  <c r="W66" i="1" s="1"/>
  <c r="X66" i="1" s="1"/>
  <c r="V19" i="1"/>
  <c r="W19" i="1" s="1"/>
  <c r="X19" i="1" s="1"/>
  <c r="N42" i="1"/>
  <c r="AE4" i="1"/>
  <c r="N4" i="1"/>
  <c r="V9" i="1"/>
  <c r="W9" i="1" s="1"/>
  <c r="X9" i="1" s="1"/>
  <c r="V12" i="1"/>
  <c r="W12" i="1" s="1"/>
  <c r="X12" i="1" s="1"/>
  <c r="AE28" i="1"/>
  <c r="AA28" i="1"/>
  <c r="AF94" i="1"/>
  <c r="AG94" i="1" s="1"/>
  <c r="N94" i="1"/>
  <c r="AE94" i="1"/>
  <c r="AA94" i="1"/>
  <c r="S76" i="1"/>
  <c r="AF86" i="1"/>
  <c r="AG86" i="1" s="1"/>
  <c r="N86" i="1"/>
  <c r="AE86" i="1"/>
  <c r="AA86" i="1"/>
  <c r="AF72" i="1"/>
  <c r="AG72" i="1" s="1"/>
  <c r="N72" i="1"/>
  <c r="AE72" i="1"/>
  <c r="AA72" i="1"/>
  <c r="T76" i="1"/>
  <c r="AA80" i="1"/>
  <c r="AF80" i="1"/>
  <c r="AG80" i="1" s="1"/>
  <c r="N80" i="1"/>
  <c r="S110" i="1"/>
  <c r="AA113" i="1"/>
  <c r="N113" i="1"/>
  <c r="AF113" i="1"/>
  <c r="AG113" i="1" s="1"/>
  <c r="AE113" i="1"/>
  <c r="AE131" i="1"/>
  <c r="AA131" i="1"/>
  <c r="N131" i="1"/>
  <c r="AE31" i="1"/>
  <c r="V40" i="1"/>
  <c r="W40" i="1" s="1"/>
  <c r="X40" i="1" s="1"/>
  <c r="AA40" i="1"/>
  <c r="V42" i="1"/>
  <c r="W42" i="1" s="1"/>
  <c r="X42" i="1" s="1"/>
  <c r="AF47" i="1"/>
  <c r="AG47" i="1" s="1"/>
  <c r="N47" i="1"/>
  <c r="AE47" i="1"/>
  <c r="S60" i="1"/>
  <c r="S80" i="1"/>
  <c r="AA88" i="1"/>
  <c r="AF88" i="1"/>
  <c r="AG88" i="1" s="1"/>
  <c r="N88" i="1"/>
  <c r="AE97" i="1"/>
  <c r="AA97" i="1"/>
  <c r="N97" i="1"/>
  <c r="T100" i="1"/>
  <c r="AF144" i="1"/>
  <c r="AG144" i="1" s="1"/>
  <c r="N144" i="1"/>
  <c r="AE144" i="1"/>
  <c r="AA144" i="1"/>
  <c r="V55" i="1"/>
  <c r="W55" i="1" s="1"/>
  <c r="X55" i="1" s="1"/>
  <c r="V48" i="1"/>
  <c r="W48" i="1" s="1"/>
  <c r="X48" i="1" s="1"/>
  <c r="V54" i="1"/>
  <c r="W54" i="1" s="1"/>
  <c r="X54" i="1" s="1"/>
  <c r="V53" i="1"/>
  <c r="W53" i="1" s="1"/>
  <c r="X53" i="1" s="1"/>
  <c r="V46" i="1"/>
  <c r="W46" i="1" s="1"/>
  <c r="X46" i="1" s="1"/>
  <c r="V56" i="1"/>
  <c r="W56" i="1" s="1"/>
  <c r="X56" i="1" s="1"/>
  <c r="AE50" i="1"/>
  <c r="AF70" i="1"/>
  <c r="AG70" i="1" s="1"/>
  <c r="N70" i="1"/>
  <c r="AA70" i="1"/>
  <c r="S88" i="1"/>
  <c r="H8" i="7" s="1"/>
  <c r="I8" i="7" s="1"/>
  <c r="S100" i="1"/>
  <c r="E10" i="7" s="1"/>
  <c r="G10" i="7" s="1"/>
  <c r="AE17" i="1"/>
  <c r="S23" i="1"/>
  <c r="N31" i="1"/>
  <c r="S38" i="1"/>
  <c r="AF11" i="1"/>
  <c r="AG11" i="1" s="1"/>
  <c r="S31" i="1"/>
  <c r="H3" i="7" s="1"/>
  <c r="I3" i="7" s="1"/>
  <c r="T38" i="1"/>
  <c r="N39" i="1"/>
  <c r="V43" i="1"/>
  <c r="W43" i="1" s="1"/>
  <c r="X43" i="1" s="1"/>
  <c r="V45" i="1"/>
  <c r="W45" i="1" s="1"/>
  <c r="X45" i="1" s="1"/>
  <c r="S47" i="1"/>
  <c r="AF50" i="1"/>
  <c r="AG50" i="1" s="1"/>
  <c r="AA57" i="1"/>
  <c r="AF57" i="1"/>
  <c r="AG57" i="1" s="1"/>
  <c r="N57" i="1"/>
  <c r="T58" i="1"/>
  <c r="V70" i="1"/>
  <c r="W70" i="1" s="1"/>
  <c r="X70" i="1" s="1"/>
  <c r="V63" i="1"/>
  <c r="W63" i="1" s="1"/>
  <c r="X63" i="1" s="1"/>
  <c r="V69" i="1"/>
  <c r="W69" i="1" s="1"/>
  <c r="X69" i="1" s="1"/>
  <c r="V62" i="1"/>
  <c r="W62" i="1" s="1"/>
  <c r="X62" i="1" s="1"/>
  <c r="V68" i="1"/>
  <c r="W68" i="1" s="1"/>
  <c r="X68" i="1" s="1"/>
  <c r="V61" i="1"/>
  <c r="W61" i="1" s="1"/>
  <c r="X61" i="1" s="1"/>
  <c r="V64" i="1"/>
  <c r="W64" i="1" s="1"/>
  <c r="X64" i="1" s="1"/>
  <c r="AF115" i="1"/>
  <c r="AG115" i="1" s="1"/>
  <c r="N115" i="1"/>
  <c r="AA115" i="1"/>
  <c r="AE115" i="1"/>
  <c r="AA151" i="1"/>
  <c r="AF151" i="1"/>
  <c r="AG151" i="1" s="1"/>
  <c r="AE151" i="1"/>
  <c r="N151" i="1"/>
  <c r="AE32" i="1"/>
  <c r="AF54" i="1"/>
  <c r="AG54" i="1" s="1"/>
  <c r="N54" i="1"/>
  <c r="V78" i="1"/>
  <c r="W78" i="1" s="1"/>
  <c r="X78" i="1" s="1"/>
  <c r="V77" i="1"/>
  <c r="W77" i="1" s="1"/>
  <c r="X77" i="1" s="1"/>
  <c r="V76" i="1"/>
  <c r="W76" i="1" s="1"/>
  <c r="X76" i="1" s="1"/>
  <c r="V79" i="1"/>
  <c r="W79" i="1" s="1"/>
  <c r="X79" i="1" s="1"/>
  <c r="V72" i="1"/>
  <c r="W72" i="1" s="1"/>
  <c r="X72" i="1" s="1"/>
  <c r="T84" i="1"/>
  <c r="V108" i="1"/>
  <c r="W108" i="1" s="1"/>
  <c r="X108" i="1" s="1"/>
  <c r="V38" i="1"/>
  <c r="W38" i="1" s="1"/>
  <c r="X38" i="1" s="1"/>
  <c r="AE40" i="1"/>
  <c r="AF49" i="1"/>
  <c r="AG49" i="1" s="1"/>
  <c r="N49" i="1"/>
  <c r="AE49" i="1"/>
  <c r="AF55" i="1"/>
  <c r="AG55" i="1" s="1"/>
  <c r="N55" i="1"/>
  <c r="AF56" i="1"/>
  <c r="AG56" i="1" s="1"/>
  <c r="N56" i="1"/>
  <c r="AE56" i="1"/>
  <c r="S57" i="1"/>
  <c r="T68" i="1"/>
  <c r="V75" i="1"/>
  <c r="W75" i="1" s="1"/>
  <c r="X75" i="1" s="1"/>
  <c r="AF79" i="1"/>
  <c r="AG79" i="1" s="1"/>
  <c r="N79" i="1"/>
  <c r="AE79" i="1"/>
  <c r="AA79" i="1"/>
  <c r="T92" i="1"/>
  <c r="S102" i="1"/>
  <c r="T112" i="1"/>
  <c r="AF125" i="1"/>
  <c r="AG125" i="1" s="1"/>
  <c r="N125" i="1"/>
  <c r="AE125" i="1"/>
  <c r="AA125" i="1"/>
  <c r="V47" i="1"/>
  <c r="W47" i="1" s="1"/>
  <c r="X47" i="1" s="1"/>
  <c r="S54" i="1"/>
  <c r="V58" i="1"/>
  <c r="W58" i="1" s="1"/>
  <c r="X58" i="1" s="1"/>
  <c r="S67" i="1"/>
  <c r="S68" i="1"/>
  <c r="S74" i="1"/>
  <c r="H7" i="7" s="1"/>
  <c r="I7" i="7" s="1"/>
  <c r="AF87" i="1"/>
  <c r="AG87" i="1" s="1"/>
  <c r="N87" i="1"/>
  <c r="AE87" i="1"/>
  <c r="AA87" i="1"/>
  <c r="S92" i="1"/>
  <c r="AF95" i="1"/>
  <c r="AG95" i="1" s="1"/>
  <c r="N95" i="1"/>
  <c r="AE95" i="1"/>
  <c r="AA95" i="1"/>
  <c r="AB95" i="1" s="1"/>
  <c r="AC95" i="1" s="1"/>
  <c r="N102" i="1"/>
  <c r="AF131" i="1"/>
  <c r="AG131" i="1" s="1"/>
  <c r="AE138" i="1"/>
  <c r="AA138" i="1"/>
  <c r="AF138" i="1"/>
  <c r="AG138" i="1" s="1"/>
  <c r="N138" i="1"/>
  <c r="AF27" i="1"/>
  <c r="AG27" i="1" s="1"/>
  <c r="AF33" i="1"/>
  <c r="AG33" i="1" s="1"/>
  <c r="N33" i="1"/>
  <c r="AE33" i="1"/>
  <c r="N50" i="1"/>
  <c r="T51" i="1"/>
  <c r="T52" i="1"/>
  <c r="V57" i="1"/>
  <c r="W57" i="1" s="1"/>
  <c r="X57" i="1" s="1"/>
  <c r="T67" i="1"/>
  <c r="T74" i="1"/>
  <c r="T82" i="1"/>
  <c r="N99" i="1"/>
  <c r="AF99" i="1"/>
  <c r="AG99" i="1" s="1"/>
  <c r="AA99" i="1"/>
  <c r="AF34" i="1"/>
  <c r="AG34" i="1" s="1"/>
  <c r="AF41" i="1"/>
  <c r="AG41" i="1" s="1"/>
  <c r="N41" i="1"/>
  <c r="AE41" i="1"/>
  <c r="S50" i="1"/>
  <c r="S51" i="1"/>
  <c r="T53" i="1"/>
  <c r="AA65" i="1"/>
  <c r="AB65" i="1" s="1"/>
  <c r="AC65" i="1" s="1"/>
  <c r="AF65" i="1"/>
  <c r="AG65" i="1" s="1"/>
  <c r="N65" i="1"/>
  <c r="T66" i="1"/>
  <c r="AE80" i="1"/>
  <c r="T91" i="1"/>
  <c r="AA132" i="1"/>
  <c r="AE132" i="1"/>
  <c r="AF132" i="1"/>
  <c r="AG132" i="1" s="1"/>
  <c r="N132" i="1"/>
  <c r="AE155" i="1"/>
  <c r="AA155" i="1"/>
  <c r="AF155" i="1"/>
  <c r="AG155" i="1" s="1"/>
  <c r="N155" i="1"/>
  <c r="S66" i="1"/>
  <c r="V67" i="1"/>
  <c r="W67" i="1" s="1"/>
  <c r="X67" i="1" s="1"/>
  <c r="V74" i="1"/>
  <c r="W74" i="1" s="1"/>
  <c r="X74" i="1" s="1"/>
  <c r="V82" i="1"/>
  <c r="W82" i="1" s="1"/>
  <c r="X82" i="1" s="1"/>
  <c r="AE88" i="1"/>
  <c r="V32" i="1"/>
  <c r="W32" i="1" s="1"/>
  <c r="X32" i="1" s="1"/>
  <c r="N34" i="1"/>
  <c r="V49" i="1"/>
  <c r="W49" i="1" s="1"/>
  <c r="X49" i="1" s="1"/>
  <c r="V50" i="1"/>
  <c r="W50" i="1" s="1"/>
  <c r="X50" i="1" s="1"/>
  <c r="V51" i="1"/>
  <c r="W51" i="1" s="1"/>
  <c r="X51" i="1" s="1"/>
  <c r="AF64" i="1"/>
  <c r="AG64" i="1" s="1"/>
  <c r="N64" i="1"/>
  <c r="AE64" i="1"/>
  <c r="S65" i="1"/>
  <c r="AA73" i="1"/>
  <c r="AF73" i="1"/>
  <c r="AG73" i="1" s="1"/>
  <c r="N73" i="1"/>
  <c r="AF78" i="1"/>
  <c r="AG78" i="1" s="1"/>
  <c r="N78" i="1"/>
  <c r="AE78" i="1"/>
  <c r="AA78" i="1"/>
  <c r="AF97" i="1"/>
  <c r="AG97" i="1" s="1"/>
  <c r="V87" i="1"/>
  <c r="W87" i="1" s="1"/>
  <c r="X87" i="1" s="1"/>
  <c r="X91" i="1"/>
  <c r="V95" i="1"/>
  <c r="W95" i="1" s="1"/>
  <c r="X95" i="1" s="1"/>
  <c r="AE103" i="1"/>
  <c r="AF111" i="1"/>
  <c r="AG111" i="1" s="1"/>
  <c r="AE120" i="1"/>
  <c r="AA124" i="1"/>
  <c r="AE124" i="1"/>
  <c r="V134" i="1"/>
  <c r="W134" i="1" s="1"/>
  <c r="X134" i="1" s="1"/>
  <c r="AF136" i="1"/>
  <c r="AG136" i="1" s="1"/>
  <c r="AA148" i="1"/>
  <c r="AF148" i="1"/>
  <c r="AG148" i="1" s="1"/>
  <c r="N148" i="1"/>
  <c r="AE148" i="1"/>
  <c r="S151" i="1"/>
  <c r="AE93" i="1"/>
  <c r="AE98" i="1"/>
  <c r="V101" i="1"/>
  <c r="W101" i="1" s="1"/>
  <c r="X101" i="1" s="1"/>
  <c r="AF103" i="1"/>
  <c r="AG103" i="1" s="1"/>
  <c r="AF120" i="1"/>
  <c r="AG120" i="1" s="1"/>
  <c r="AF121" i="1"/>
  <c r="AG121" i="1" s="1"/>
  <c r="AF129" i="1"/>
  <c r="AG129" i="1" s="1"/>
  <c r="V133" i="1"/>
  <c r="W133" i="1" s="1"/>
  <c r="X133" i="1" s="1"/>
  <c r="N62" i="1"/>
  <c r="N69" i="1"/>
  <c r="N77" i="1"/>
  <c r="V84" i="1"/>
  <c r="W84" i="1" s="1"/>
  <c r="X84" i="1" s="1"/>
  <c r="N85" i="1"/>
  <c r="V92" i="1"/>
  <c r="W92" i="1" s="1"/>
  <c r="X92" i="1" s="1"/>
  <c r="N93" i="1"/>
  <c r="AF98" i="1"/>
  <c r="AG98" i="1" s="1"/>
  <c r="N103" i="1"/>
  <c r="AA106" i="1"/>
  <c r="V121" i="1"/>
  <c r="W121" i="1" s="1"/>
  <c r="X121" i="1" s="1"/>
  <c r="V114" i="1"/>
  <c r="W114" i="1" s="1"/>
  <c r="X114" i="1" s="1"/>
  <c r="V124" i="1"/>
  <c r="W124" i="1" s="1"/>
  <c r="X124" i="1" s="1"/>
  <c r="N111" i="1"/>
  <c r="AF122" i="1"/>
  <c r="AG122" i="1" s="1"/>
  <c r="N122" i="1"/>
  <c r="AA122" i="1"/>
  <c r="N123" i="1"/>
  <c r="N124" i="1"/>
  <c r="V125" i="1"/>
  <c r="W125" i="1" s="1"/>
  <c r="X125" i="1" s="1"/>
  <c r="AE135" i="1"/>
  <c r="AE168" i="1"/>
  <c r="AA168" i="1"/>
  <c r="N168" i="1"/>
  <c r="V106" i="1"/>
  <c r="W106" i="1" s="1"/>
  <c r="X106" i="1" s="1"/>
  <c r="AA100" i="1"/>
  <c r="V102" i="1"/>
  <c r="W102" i="1" s="1"/>
  <c r="X102" i="1" s="1"/>
  <c r="V110" i="1"/>
  <c r="W110" i="1" s="1"/>
  <c r="X110" i="1" s="1"/>
  <c r="S117" i="1"/>
  <c r="AE127" i="1"/>
  <c r="AF135" i="1"/>
  <c r="AG135" i="1" s="1"/>
  <c r="S143" i="1"/>
  <c r="AE147" i="1"/>
  <c r="AA147" i="1"/>
  <c r="S81" i="1"/>
  <c r="S90" i="1"/>
  <c r="V103" i="1"/>
  <c r="W103" i="1" s="1"/>
  <c r="X103" i="1" s="1"/>
  <c r="AF105" i="1"/>
  <c r="AG105" i="1" s="1"/>
  <c r="V111" i="1"/>
  <c r="W111" i="1" s="1"/>
  <c r="X111" i="1" s="1"/>
  <c r="N120" i="1"/>
  <c r="N121" i="1"/>
  <c r="V131" i="1"/>
  <c r="W131" i="1" s="1"/>
  <c r="X131" i="1" s="1"/>
  <c r="V137" i="1"/>
  <c r="W137" i="1" s="1"/>
  <c r="X137" i="1" s="1"/>
  <c r="T143" i="1"/>
  <c r="N147" i="1"/>
  <c r="V85" i="1"/>
  <c r="W85" i="1" s="1"/>
  <c r="X85" i="1" s="1"/>
  <c r="V93" i="1"/>
  <c r="W93" i="1" s="1"/>
  <c r="X93" i="1" s="1"/>
  <c r="AE106" i="1"/>
  <c r="T119" i="1"/>
  <c r="S120" i="1"/>
  <c r="V122" i="1"/>
  <c r="W122" i="1" s="1"/>
  <c r="X122" i="1" s="1"/>
  <c r="V123" i="1"/>
  <c r="W123" i="1" s="1"/>
  <c r="X123" i="1" s="1"/>
  <c r="N136" i="1"/>
  <c r="T150" i="1"/>
  <c r="V98" i="1"/>
  <c r="W98" i="1" s="1"/>
  <c r="X98" i="1" s="1"/>
  <c r="AE100" i="1"/>
  <c r="AF106" i="1"/>
  <c r="AG106" i="1" s="1"/>
  <c r="V117" i="1"/>
  <c r="W117" i="1" s="1"/>
  <c r="X117" i="1" s="1"/>
  <c r="V118" i="1"/>
  <c r="W118" i="1" s="1"/>
  <c r="X118" i="1" s="1"/>
  <c r="V151" i="1"/>
  <c r="W151" i="1" s="1"/>
  <c r="X151" i="1" s="1"/>
  <c r="V147" i="1"/>
  <c r="W147" i="1" s="1"/>
  <c r="X147" i="1" s="1"/>
  <c r="T164" i="1"/>
  <c r="V136" i="1"/>
  <c r="W136" i="1" s="1"/>
  <c r="X136" i="1" s="1"/>
  <c r="V129" i="1"/>
  <c r="W129" i="1" s="1"/>
  <c r="X129" i="1" s="1"/>
  <c r="V132" i="1"/>
  <c r="W132" i="1" s="1"/>
  <c r="X132" i="1" s="1"/>
  <c r="S135" i="1"/>
  <c r="AF141" i="1"/>
  <c r="AG141" i="1" s="1"/>
  <c r="N141" i="1"/>
  <c r="AE141" i="1"/>
  <c r="AA141" i="1"/>
  <c r="V150" i="1"/>
  <c r="W150" i="1" s="1"/>
  <c r="X150" i="1" s="1"/>
  <c r="T167" i="1"/>
  <c r="AF168" i="1"/>
  <c r="AG168" i="1" s="1"/>
  <c r="V104" i="1"/>
  <c r="W104" i="1" s="1"/>
  <c r="X104" i="1" s="1"/>
  <c r="AF107" i="1"/>
  <c r="AG107" i="1" s="1"/>
  <c r="N107" i="1"/>
  <c r="V120" i="1"/>
  <c r="W120" i="1" s="1"/>
  <c r="X120" i="1" s="1"/>
  <c r="S127" i="1"/>
  <c r="N135" i="1"/>
  <c r="V140" i="1"/>
  <c r="W140" i="1" s="1"/>
  <c r="X140" i="1" s="1"/>
  <c r="V143" i="1"/>
  <c r="W143" i="1" s="1"/>
  <c r="X143" i="1" s="1"/>
  <c r="AA156" i="1"/>
  <c r="AF156" i="1"/>
  <c r="AG156" i="1" s="1"/>
  <c r="N156" i="1"/>
  <c r="AE156" i="1"/>
  <c r="S167" i="1"/>
  <c r="E17" i="7" s="1"/>
  <c r="G17" i="7" s="1"/>
  <c r="AE169" i="1"/>
  <c r="AA169" i="1"/>
  <c r="AF169" i="1"/>
  <c r="AG169" i="1" s="1"/>
  <c r="N169" i="1"/>
  <c r="V99" i="1"/>
  <c r="W99" i="1" s="1"/>
  <c r="X99" i="1" s="1"/>
  <c r="AA111" i="1"/>
  <c r="V113" i="1"/>
  <c r="W113" i="1" s="1"/>
  <c r="X113" i="1" s="1"/>
  <c r="AA123" i="1"/>
  <c r="N127" i="1"/>
  <c r="AE143" i="1"/>
  <c r="V152" i="1"/>
  <c r="W152" i="1" s="1"/>
  <c r="X152" i="1" s="1"/>
  <c r="X160" i="1"/>
  <c r="S160" i="1"/>
  <c r="AA149" i="1"/>
  <c r="AA157" i="1"/>
  <c r="AE161" i="1"/>
  <c r="S124" i="1"/>
  <c r="AA130" i="1"/>
  <c r="S132" i="1"/>
  <c r="AA137" i="1"/>
  <c r="S140" i="1"/>
  <c r="AA146" i="1"/>
  <c r="S148" i="1"/>
  <c r="AE152" i="1"/>
  <c r="AA154" i="1"/>
  <c r="S156" i="1"/>
  <c r="AA164" i="1"/>
  <c r="N152" i="1"/>
  <c r="S161" i="1"/>
  <c r="AE162" i="1"/>
  <c r="AE149" i="1"/>
  <c r="AE157" i="1"/>
  <c r="AF162" i="1"/>
  <c r="AG162" i="1" s="1"/>
  <c r="N149" i="1"/>
  <c r="N157" i="1"/>
  <c r="AE164" i="1"/>
  <c r="N130" i="1"/>
  <c r="N137" i="1"/>
  <c r="N146" i="1"/>
  <c r="N154" i="1"/>
  <c r="AF164" i="1"/>
  <c r="AG164" i="1" s="1"/>
  <c r="AF165" i="1"/>
  <c r="AG165" i="1" s="1"/>
  <c r="AE166" i="1"/>
  <c r="AA166" i="1"/>
  <c r="AF167" i="1"/>
  <c r="AG167" i="1" s="1"/>
  <c r="AF170" i="1"/>
  <c r="AG170" i="1" s="1"/>
  <c r="N170" i="1"/>
  <c r="AE170" i="1"/>
  <c r="AA170" i="1"/>
  <c r="AB162" i="1" l="1"/>
  <c r="AC162" i="1" s="1"/>
  <c r="AD162" i="1" s="1"/>
  <c r="AB160" i="1"/>
  <c r="AC160" i="1" s="1"/>
  <c r="AD160" i="1" s="1"/>
  <c r="D16" i="7" s="1"/>
  <c r="M16" i="7" s="1"/>
  <c r="H14" i="7"/>
  <c r="I14" i="7" s="1"/>
  <c r="H12" i="7"/>
  <c r="I12" i="7" s="1"/>
  <c r="H3" i="8"/>
  <c r="I3" i="8" s="1"/>
  <c r="AB88" i="1"/>
  <c r="AC88" i="1" s="1"/>
  <c r="AB86" i="1"/>
  <c r="AC86" i="1" s="1"/>
  <c r="AB87" i="1"/>
  <c r="AC87" i="1" s="1"/>
  <c r="AD87" i="1" s="1"/>
  <c r="E8" i="7"/>
  <c r="G8" i="7" s="1"/>
  <c r="C17" i="7"/>
  <c r="K17" i="7" s="1"/>
  <c r="H17" i="7"/>
  <c r="I17" i="7" s="1"/>
  <c r="C15" i="7"/>
  <c r="K15" i="7" s="1"/>
  <c r="H7" i="8"/>
  <c r="I7" i="8" s="1"/>
  <c r="E6" i="8"/>
  <c r="G6" i="8" s="1"/>
  <c r="E12" i="7"/>
  <c r="G12" i="7" s="1"/>
  <c r="AB132" i="1"/>
  <c r="AC132" i="1" s="1"/>
  <c r="AD132" i="1" s="1"/>
  <c r="H10" i="7"/>
  <c r="I10" i="7" s="1"/>
  <c r="AB84" i="1"/>
  <c r="AC84" i="1" s="1"/>
  <c r="AD84" i="1" s="1"/>
  <c r="E5" i="7"/>
  <c r="G5" i="7" s="1"/>
  <c r="B157" i="11"/>
  <c r="C157" i="11" s="1"/>
  <c r="B117" i="11"/>
  <c r="E117" i="11" s="1"/>
  <c r="C13" i="7"/>
  <c r="K13" i="7" s="1"/>
  <c r="C8" i="7"/>
  <c r="K8" i="7" s="1"/>
  <c r="B15" i="11"/>
  <c r="A15" i="11" s="1"/>
  <c r="C14" i="7"/>
  <c r="K14" i="7" s="1"/>
  <c r="C6" i="8" s="1"/>
  <c r="K6" i="8" s="1"/>
  <c r="C9" i="7"/>
  <c r="K9" i="7" s="1"/>
  <c r="C5" i="7"/>
  <c r="K5" i="7" s="1"/>
  <c r="C3" i="7"/>
  <c r="K3" i="7" s="1"/>
  <c r="T151" i="1"/>
  <c r="C11" i="7"/>
  <c r="K11" i="7" s="1"/>
  <c r="C4" i="8" s="1"/>
  <c r="K4" i="8" s="1"/>
  <c r="C64" i="10"/>
  <c r="B64" i="10"/>
  <c r="C118" i="10"/>
  <c r="B118" i="10"/>
  <c r="C106" i="10"/>
  <c r="B106" i="10"/>
  <c r="C5" i="10"/>
  <c r="B5" i="10"/>
  <c r="B169" i="10"/>
  <c r="C169" i="10"/>
  <c r="T18" i="1"/>
  <c r="C2" i="7"/>
  <c r="K2" i="7" s="1"/>
  <c r="T110" i="1"/>
  <c r="B88" i="11"/>
  <c r="B120" i="11"/>
  <c r="B10" i="11"/>
  <c r="B59" i="11"/>
  <c r="B42" i="11"/>
  <c r="B91" i="11"/>
  <c r="B122" i="11"/>
  <c r="B57" i="11"/>
  <c r="B164" i="11"/>
  <c r="B132" i="11"/>
  <c r="B20" i="11"/>
  <c r="T136" i="1"/>
  <c r="T147" i="1"/>
  <c r="T122" i="1"/>
  <c r="T77" i="1"/>
  <c r="E3" i="8"/>
  <c r="G3" i="8" s="1"/>
  <c r="AB62" i="1"/>
  <c r="AC62" i="1" s="1"/>
  <c r="AD62" i="1" s="1"/>
  <c r="T33" i="1"/>
  <c r="T39" i="1"/>
  <c r="T80" i="1"/>
  <c r="C35" i="10"/>
  <c r="B35" i="10"/>
  <c r="C115" i="10"/>
  <c r="B115" i="10"/>
  <c r="C9" i="10"/>
  <c r="B9" i="10"/>
  <c r="C81" i="10"/>
  <c r="B81" i="10"/>
  <c r="C131" i="10"/>
  <c r="B131" i="10"/>
  <c r="C65" i="10"/>
  <c r="B65" i="10"/>
  <c r="C119" i="10"/>
  <c r="B119" i="10"/>
  <c r="C34" i="10"/>
  <c r="B34" i="10"/>
  <c r="B120" i="10"/>
  <c r="C120" i="10"/>
  <c r="C142" i="10"/>
  <c r="B142" i="10"/>
  <c r="C19" i="10"/>
  <c r="B19" i="10"/>
  <c r="C88" i="10"/>
  <c r="B88" i="10"/>
  <c r="T26" i="1"/>
  <c r="B93" i="11"/>
  <c r="B17" i="11"/>
  <c r="B18" i="11"/>
  <c r="B64" i="11"/>
  <c r="B87" i="11"/>
  <c r="B98" i="11"/>
  <c r="B139" i="11"/>
  <c r="B83" i="11"/>
  <c r="B168" i="11"/>
  <c r="B140" i="11"/>
  <c r="B25" i="11"/>
  <c r="B124" i="11"/>
  <c r="T137" i="1"/>
  <c r="T124" i="1"/>
  <c r="B97" i="10"/>
  <c r="C97" i="10"/>
  <c r="E2" i="8"/>
  <c r="G2" i="8" s="1"/>
  <c r="B84" i="11"/>
  <c r="B102" i="11"/>
  <c r="T50" i="1"/>
  <c r="H4" i="8"/>
  <c r="I4" i="8" s="1"/>
  <c r="E4" i="8"/>
  <c r="G4" i="8" s="1"/>
  <c r="H11" i="7"/>
  <c r="I11" i="7" s="1"/>
  <c r="E11" i="7"/>
  <c r="G11" i="7" s="1"/>
  <c r="C48" i="10"/>
  <c r="B48" i="10"/>
  <c r="C108" i="10"/>
  <c r="B108" i="10"/>
  <c r="E4" i="7"/>
  <c r="G4" i="7" s="1"/>
  <c r="H4" i="7"/>
  <c r="I4" i="7" s="1"/>
  <c r="B29" i="11"/>
  <c r="B121" i="11"/>
  <c r="T170" i="1"/>
  <c r="T95" i="1"/>
  <c r="AD95" i="1"/>
  <c r="C114" i="10"/>
  <c r="B114" i="10"/>
  <c r="E5" i="8"/>
  <c r="G5" i="8" s="1"/>
  <c r="T69" i="1"/>
  <c r="T78" i="1"/>
  <c r="T41" i="1"/>
  <c r="AB61" i="1"/>
  <c r="AC61" i="1" s="1"/>
  <c r="AD61" i="1" s="1"/>
  <c r="C73" i="10"/>
  <c r="B73" i="10"/>
  <c r="C123" i="10"/>
  <c r="B123" i="10"/>
  <c r="C15" i="10"/>
  <c r="B15" i="10"/>
  <c r="C104" i="10"/>
  <c r="B104" i="10"/>
  <c r="C138" i="10"/>
  <c r="B138" i="10"/>
  <c r="C71" i="10"/>
  <c r="B71" i="10"/>
  <c r="C140" i="10"/>
  <c r="B140" i="10"/>
  <c r="C50" i="10"/>
  <c r="B50" i="10"/>
  <c r="C141" i="10"/>
  <c r="B141" i="10"/>
  <c r="C155" i="10"/>
  <c r="B155" i="10"/>
  <c r="C33" i="10"/>
  <c r="B33" i="10"/>
  <c r="C102" i="10"/>
  <c r="B102" i="10"/>
  <c r="T45" i="1"/>
  <c r="T20" i="1"/>
  <c r="B144" i="11"/>
  <c r="B53" i="11"/>
  <c r="B23" i="11"/>
  <c r="B72" i="11"/>
  <c r="B11" i="11"/>
  <c r="B111" i="11"/>
  <c r="B156" i="11"/>
  <c r="B86" i="11"/>
  <c r="B169" i="11"/>
  <c r="B143" i="11"/>
  <c r="B30" i="11"/>
  <c r="B131" i="11"/>
  <c r="T113" i="1"/>
  <c r="T156" i="1"/>
  <c r="H5" i="7"/>
  <c r="I5" i="7" s="1"/>
  <c r="C117" i="10"/>
  <c r="B117" i="10"/>
  <c r="C133" i="10"/>
  <c r="B133" i="10"/>
  <c r="B163" i="11"/>
  <c r="C30" i="10"/>
  <c r="B30" i="10"/>
  <c r="C94" i="10"/>
  <c r="B94" i="10"/>
  <c r="T29" i="1"/>
  <c r="B14" i="11"/>
  <c r="B110" i="11"/>
  <c r="T88" i="1"/>
  <c r="AD88" i="1"/>
  <c r="C68" i="10"/>
  <c r="B68" i="10"/>
  <c r="C49" i="10"/>
  <c r="B49" i="10"/>
  <c r="T135" i="1"/>
  <c r="H5" i="8"/>
  <c r="I5" i="8" s="1"/>
  <c r="H15" i="7"/>
  <c r="I15" i="7" s="1"/>
  <c r="T111" i="1"/>
  <c r="T62" i="1"/>
  <c r="AB66" i="1"/>
  <c r="AC66" i="1" s="1"/>
  <c r="AD66" i="1" s="1"/>
  <c r="T56" i="1"/>
  <c r="E7" i="7"/>
  <c r="G7" i="7" s="1"/>
  <c r="AD86" i="1"/>
  <c r="T86" i="1"/>
  <c r="C79" i="10"/>
  <c r="B79" i="10"/>
  <c r="C136" i="10"/>
  <c r="B136" i="10"/>
  <c r="C31" i="10"/>
  <c r="B31" i="10"/>
  <c r="C124" i="10"/>
  <c r="B124" i="10"/>
  <c r="C159" i="10"/>
  <c r="B159" i="10"/>
  <c r="C82" i="10"/>
  <c r="B82" i="10"/>
  <c r="C147" i="10"/>
  <c r="B147" i="10"/>
  <c r="C72" i="10"/>
  <c r="B72" i="10"/>
  <c r="B148" i="10"/>
  <c r="C148" i="10"/>
  <c r="C162" i="10"/>
  <c r="B162" i="10"/>
  <c r="C47" i="10"/>
  <c r="B47" i="10"/>
  <c r="B116" i="10"/>
  <c r="C116" i="10"/>
  <c r="AB57" i="1"/>
  <c r="AC57" i="1" s="1"/>
  <c r="AD57" i="1" s="1"/>
  <c r="AB50" i="1"/>
  <c r="AC50" i="1" s="1"/>
  <c r="AD50" i="1" s="1"/>
  <c r="AB56" i="1"/>
  <c r="AC56" i="1" s="1"/>
  <c r="AD56" i="1" s="1"/>
  <c r="AB55" i="1"/>
  <c r="AC55" i="1" s="1"/>
  <c r="AD55" i="1" s="1"/>
  <c r="AB48" i="1"/>
  <c r="AC48" i="1" s="1"/>
  <c r="AD48" i="1" s="1"/>
  <c r="AB58" i="1"/>
  <c r="AC58" i="1" s="1"/>
  <c r="AD58" i="1" s="1"/>
  <c r="AB49" i="1"/>
  <c r="AC49" i="1" s="1"/>
  <c r="AD49" i="1" s="1"/>
  <c r="AB54" i="1"/>
  <c r="AC54" i="1" s="1"/>
  <c r="AD54" i="1" s="1"/>
  <c r="AB53" i="1"/>
  <c r="AC53" i="1" s="1"/>
  <c r="AD53" i="1" s="1"/>
  <c r="AB52" i="1"/>
  <c r="AC52" i="1" s="1"/>
  <c r="AD52" i="1" s="1"/>
  <c r="AB51" i="1"/>
  <c r="AC51" i="1" s="1"/>
  <c r="AD51" i="1" s="1"/>
  <c r="AB45" i="1"/>
  <c r="AC45" i="1" s="1"/>
  <c r="AD45" i="1" s="1"/>
  <c r="AB47" i="1"/>
  <c r="AC47" i="1" s="1"/>
  <c r="AD47" i="1" s="1"/>
  <c r="AB46" i="1"/>
  <c r="AC46" i="1" s="1"/>
  <c r="AD46" i="1" s="1"/>
  <c r="AB123" i="1"/>
  <c r="AC123" i="1" s="1"/>
  <c r="AD123" i="1" s="1"/>
  <c r="AB116" i="1"/>
  <c r="AC116" i="1" s="1"/>
  <c r="AD116" i="1" s="1"/>
  <c r="AB126" i="1"/>
  <c r="AC126" i="1" s="1"/>
  <c r="AD126" i="1" s="1"/>
  <c r="AB124" i="1"/>
  <c r="AC124" i="1" s="1"/>
  <c r="AD124" i="1" s="1"/>
  <c r="AB110" i="1"/>
  <c r="AC110" i="1" s="1"/>
  <c r="AD110" i="1" s="1"/>
  <c r="AB125" i="1"/>
  <c r="AC125" i="1" s="1"/>
  <c r="AD125" i="1" s="1"/>
  <c r="AB127" i="1"/>
  <c r="AC127" i="1" s="1"/>
  <c r="AD127" i="1" s="1"/>
  <c r="AB119" i="1"/>
  <c r="AC119" i="1" s="1"/>
  <c r="AD119" i="1" s="1"/>
  <c r="AB114" i="1"/>
  <c r="AC114" i="1" s="1"/>
  <c r="AD114" i="1" s="1"/>
  <c r="AB112" i="1"/>
  <c r="AC112" i="1" s="1"/>
  <c r="AD112" i="1" s="1"/>
  <c r="AB115" i="1"/>
  <c r="AC115" i="1" s="1"/>
  <c r="AD115" i="1" s="1"/>
  <c r="AB121" i="1"/>
  <c r="AC121" i="1" s="1"/>
  <c r="AD121" i="1" s="1"/>
  <c r="AB113" i="1"/>
  <c r="AC113" i="1" s="1"/>
  <c r="AD113" i="1" s="1"/>
  <c r="AB122" i="1"/>
  <c r="AC122" i="1" s="1"/>
  <c r="AD122" i="1" s="1"/>
  <c r="AB120" i="1"/>
  <c r="AC120" i="1" s="1"/>
  <c r="AD120" i="1" s="1"/>
  <c r="AB111" i="1"/>
  <c r="AC111" i="1" s="1"/>
  <c r="AD111" i="1" s="1"/>
  <c r="AB118" i="1"/>
  <c r="AC118" i="1" s="1"/>
  <c r="AD118" i="1" s="1"/>
  <c r="AB117" i="1"/>
  <c r="AC117" i="1" s="1"/>
  <c r="AD117" i="1" s="1"/>
  <c r="B5" i="11"/>
  <c r="B58" i="11"/>
  <c r="B68" i="11"/>
  <c r="B77" i="11"/>
  <c r="B16" i="11"/>
  <c r="B128" i="11"/>
  <c r="B160" i="11"/>
  <c r="B129" i="11"/>
  <c r="B2" i="11"/>
  <c r="B151" i="11"/>
  <c r="B35" i="11"/>
  <c r="B138" i="11"/>
  <c r="T97" i="1"/>
  <c r="C91" i="10"/>
  <c r="B91" i="10"/>
  <c r="C11" i="10"/>
  <c r="B11" i="10"/>
  <c r="C96" i="10"/>
  <c r="B96" i="10"/>
  <c r="B161" i="11"/>
  <c r="B165" i="11"/>
  <c r="C111" i="10"/>
  <c r="B111" i="10"/>
  <c r="B157" i="10"/>
  <c r="C157" i="10"/>
  <c r="B6" i="11"/>
  <c r="B148" i="11"/>
  <c r="B54" i="11"/>
  <c r="C150" i="10"/>
  <c r="B150" i="10"/>
  <c r="C12" i="10"/>
  <c r="B12" i="10"/>
  <c r="AB147" i="1"/>
  <c r="AC147" i="1" s="1"/>
  <c r="AD147" i="1" s="1"/>
  <c r="AB150" i="1"/>
  <c r="AC150" i="1" s="1"/>
  <c r="AD150" i="1" s="1"/>
  <c r="AB146" i="1"/>
  <c r="AC146" i="1" s="1"/>
  <c r="AD146" i="1" s="1"/>
  <c r="AB149" i="1"/>
  <c r="AC149" i="1" s="1"/>
  <c r="AD149" i="1" s="1"/>
  <c r="AB148" i="1"/>
  <c r="AC148" i="1" s="1"/>
  <c r="AD148" i="1" s="1"/>
  <c r="AB151" i="1"/>
  <c r="AC151" i="1" s="1"/>
  <c r="AD151" i="1" s="1"/>
  <c r="AB152" i="1"/>
  <c r="AC152" i="1" s="1"/>
  <c r="AD152" i="1" s="1"/>
  <c r="H16" i="7"/>
  <c r="I16" i="7" s="1"/>
  <c r="E16" i="7"/>
  <c r="G16" i="7" s="1"/>
  <c r="T169" i="1"/>
  <c r="E14" i="7"/>
  <c r="G14" i="7" s="1"/>
  <c r="E7" i="8"/>
  <c r="G7" i="8" s="1"/>
  <c r="T73" i="1"/>
  <c r="AB85" i="1"/>
  <c r="AC85" i="1" s="1"/>
  <c r="AD85" i="1" s="1"/>
  <c r="AB63" i="1"/>
  <c r="AC63" i="1" s="1"/>
  <c r="AD63" i="1" s="1"/>
  <c r="T138" i="1"/>
  <c r="AB135" i="1"/>
  <c r="AC135" i="1" s="1"/>
  <c r="AD135" i="1" s="1"/>
  <c r="T4" i="1"/>
  <c r="C170" i="10"/>
  <c r="B170" i="10"/>
  <c r="C143" i="10"/>
  <c r="B143" i="10"/>
  <c r="C53" i="10"/>
  <c r="B53" i="10"/>
  <c r="B144" i="10"/>
  <c r="C144" i="10"/>
  <c r="C16" i="10"/>
  <c r="B16" i="10"/>
  <c r="C125" i="10"/>
  <c r="B125" i="10"/>
  <c r="C160" i="10"/>
  <c r="B160" i="10"/>
  <c r="B83" i="10"/>
  <c r="C83" i="10"/>
  <c r="C161" i="10"/>
  <c r="B161" i="10"/>
  <c r="B14" i="10"/>
  <c r="C14" i="10"/>
  <c r="C61" i="10"/>
  <c r="B61" i="10"/>
  <c r="C107" i="10"/>
  <c r="B107" i="10"/>
  <c r="AB19" i="1"/>
  <c r="AC19" i="1" s="1"/>
  <c r="AD19" i="1" s="1"/>
  <c r="AB12" i="1"/>
  <c r="AC12" i="1" s="1"/>
  <c r="AD12" i="1" s="1"/>
  <c r="AB16" i="1"/>
  <c r="AC16" i="1" s="1"/>
  <c r="AD16" i="1" s="1"/>
  <c r="AB10" i="1"/>
  <c r="AC10" i="1" s="1"/>
  <c r="AD10" i="1" s="1"/>
  <c r="AB20" i="1"/>
  <c r="AC20" i="1" s="1"/>
  <c r="AD20" i="1" s="1"/>
  <c r="AB13" i="1"/>
  <c r="AC13" i="1" s="1"/>
  <c r="AD13" i="1" s="1"/>
  <c r="AB8" i="1"/>
  <c r="AC8" i="1" s="1"/>
  <c r="AD8" i="1" s="1"/>
  <c r="AB18" i="1"/>
  <c r="AC18" i="1" s="1"/>
  <c r="AD18" i="1" s="1"/>
  <c r="AB24" i="1"/>
  <c r="AC24" i="1" s="1"/>
  <c r="AD24" i="1" s="1"/>
  <c r="AB22" i="1"/>
  <c r="AC22" i="1" s="1"/>
  <c r="AD22" i="1" s="1"/>
  <c r="AB15" i="1"/>
  <c r="AC15" i="1" s="1"/>
  <c r="AD15" i="1" s="1"/>
  <c r="AB14" i="1"/>
  <c r="AC14" i="1" s="1"/>
  <c r="AD14" i="1" s="1"/>
  <c r="AB5" i="1"/>
  <c r="AC5" i="1" s="1"/>
  <c r="AD5" i="1" s="1"/>
  <c r="AB6" i="1"/>
  <c r="AC6" i="1" s="1"/>
  <c r="AD6" i="1" s="1"/>
  <c r="AB11" i="1"/>
  <c r="AC11" i="1" s="1"/>
  <c r="AD11" i="1" s="1"/>
  <c r="AB9" i="1"/>
  <c r="AC9" i="1" s="1"/>
  <c r="AD9" i="1" s="1"/>
  <c r="AB23" i="1"/>
  <c r="AC23" i="1" s="1"/>
  <c r="AD23" i="1" s="1"/>
  <c r="AB21" i="1"/>
  <c r="AC21" i="1" s="1"/>
  <c r="AD21" i="1" s="1"/>
  <c r="AB17" i="1"/>
  <c r="AC17" i="1" s="1"/>
  <c r="AD17" i="1" s="1"/>
  <c r="AB7" i="1"/>
  <c r="AC7" i="1" s="1"/>
  <c r="AD7" i="1" s="1"/>
  <c r="AB4" i="1"/>
  <c r="AC4" i="1" s="1"/>
  <c r="AD4" i="1" s="1"/>
  <c r="AB60" i="1"/>
  <c r="AC60" i="1" s="1"/>
  <c r="AD60" i="1" s="1"/>
  <c r="AB69" i="1"/>
  <c r="AC69" i="1" s="1"/>
  <c r="AD69" i="1" s="1"/>
  <c r="AB67" i="1"/>
  <c r="AC67" i="1" s="1"/>
  <c r="AD67" i="1" s="1"/>
  <c r="AB68" i="1"/>
  <c r="AC68" i="1" s="1"/>
  <c r="AD68" i="1" s="1"/>
  <c r="B26" i="11"/>
  <c r="B147" i="11"/>
  <c r="B81" i="11"/>
  <c r="B28" i="11"/>
  <c r="B61" i="11"/>
  <c r="B149" i="11"/>
  <c r="B12" i="11"/>
  <c r="B150" i="11"/>
  <c r="B7" i="11"/>
  <c r="B162" i="11"/>
  <c r="B103" i="11"/>
  <c r="B145" i="11"/>
  <c r="C16" i="7"/>
  <c r="K16" i="7" s="1"/>
  <c r="C7" i="8" s="1"/>
  <c r="K7" i="8" s="1"/>
  <c r="E15" i="7"/>
  <c r="G15" i="7" s="1"/>
  <c r="AB70" i="1"/>
  <c r="AC70" i="1" s="1"/>
  <c r="AD70" i="1" s="1"/>
  <c r="T87" i="1"/>
  <c r="AB133" i="1"/>
  <c r="AC133" i="1" s="1"/>
  <c r="AD133" i="1" s="1"/>
  <c r="T55" i="1"/>
  <c r="C7" i="7"/>
  <c r="K7" i="7" s="1"/>
  <c r="C6" i="7"/>
  <c r="K6" i="7" s="1"/>
  <c r="T131" i="1"/>
  <c r="C8" i="10"/>
  <c r="B8" i="10"/>
  <c r="C156" i="10"/>
  <c r="B156" i="10"/>
  <c r="C69" i="10"/>
  <c r="B69" i="10"/>
  <c r="C152" i="10"/>
  <c r="B152" i="10"/>
  <c r="C32" i="10"/>
  <c r="B32" i="10"/>
  <c r="C146" i="10"/>
  <c r="B146" i="10"/>
  <c r="C167" i="10"/>
  <c r="B167" i="10"/>
  <c r="C89" i="10"/>
  <c r="B89" i="10"/>
  <c r="C2" i="10"/>
  <c r="B2" i="10"/>
  <c r="B28" i="10"/>
  <c r="C28" i="10"/>
  <c r="C75" i="10"/>
  <c r="B75" i="10"/>
  <c r="C121" i="10"/>
  <c r="B121" i="10"/>
  <c r="T14" i="1"/>
  <c r="T13" i="1"/>
  <c r="B39" i="11"/>
  <c r="B62" i="11"/>
  <c r="B101" i="11"/>
  <c r="B33" i="11"/>
  <c r="B69" i="11"/>
  <c r="B31" i="11"/>
  <c r="B38" i="11"/>
  <c r="B167" i="11"/>
  <c r="B75" i="11"/>
  <c r="B170" i="11"/>
  <c r="B108" i="11"/>
  <c r="B152" i="11"/>
  <c r="E9" i="7"/>
  <c r="G9" i="7" s="1"/>
  <c r="H9" i="7"/>
  <c r="I9" i="7" s="1"/>
  <c r="T102" i="1"/>
  <c r="T54" i="1"/>
  <c r="C4" i="7"/>
  <c r="K4" i="7" s="1"/>
  <c r="B76" i="11"/>
  <c r="B24" i="11"/>
  <c r="B155" i="11"/>
  <c r="B70" i="11"/>
  <c r="T85" i="1"/>
  <c r="C137" i="10"/>
  <c r="B137" i="10"/>
  <c r="B45" i="10"/>
  <c r="C45" i="10"/>
  <c r="T23" i="1"/>
  <c r="B118" i="11"/>
  <c r="C12" i="7"/>
  <c r="K12" i="7" s="1"/>
  <c r="T34" i="1"/>
  <c r="C109" i="10"/>
  <c r="B109" i="10"/>
  <c r="B67" i="10"/>
  <c r="C67" i="10"/>
  <c r="H13" i="7"/>
  <c r="I13" i="7" s="1"/>
  <c r="E13" i="7"/>
  <c r="G13" i="7" s="1"/>
  <c r="H6" i="8"/>
  <c r="I6" i="8" s="1"/>
  <c r="T121" i="1"/>
  <c r="T120" i="1"/>
  <c r="AB64" i="1"/>
  <c r="AC64" i="1" s="1"/>
  <c r="AD64" i="1" s="1"/>
  <c r="T115" i="1"/>
  <c r="T70" i="1"/>
  <c r="H6" i="7"/>
  <c r="I6" i="7" s="1"/>
  <c r="E6" i="7"/>
  <c r="G6" i="7" s="1"/>
  <c r="AB80" i="1"/>
  <c r="AC80" i="1" s="1"/>
  <c r="AD80" i="1" s="1"/>
  <c r="AB73" i="1"/>
  <c r="AC73" i="1" s="1"/>
  <c r="AD73" i="1" s="1"/>
  <c r="AB79" i="1"/>
  <c r="AC79" i="1" s="1"/>
  <c r="AD79" i="1" s="1"/>
  <c r="AB72" i="1"/>
  <c r="AC72" i="1" s="1"/>
  <c r="AD72" i="1" s="1"/>
  <c r="AB78" i="1"/>
  <c r="AC78" i="1" s="1"/>
  <c r="AD78" i="1" s="1"/>
  <c r="AB81" i="1"/>
  <c r="AC81" i="1" s="1"/>
  <c r="AD81" i="1" s="1"/>
  <c r="AB74" i="1"/>
  <c r="AC74" i="1" s="1"/>
  <c r="AD74" i="1" s="1"/>
  <c r="AB75" i="1"/>
  <c r="AC75" i="1" s="1"/>
  <c r="AD75" i="1" s="1"/>
  <c r="AB76" i="1"/>
  <c r="AC76" i="1" s="1"/>
  <c r="AD76" i="1" s="1"/>
  <c r="AB77" i="1"/>
  <c r="AC77" i="1" s="1"/>
  <c r="AD77" i="1" s="1"/>
  <c r="AB82" i="1"/>
  <c r="AC82" i="1" s="1"/>
  <c r="AD82" i="1" s="1"/>
  <c r="T42" i="1"/>
  <c r="T6" i="1"/>
  <c r="C46" i="10"/>
  <c r="B46" i="10"/>
  <c r="C164" i="10"/>
  <c r="B164" i="10"/>
  <c r="C92" i="10"/>
  <c r="B92" i="10"/>
  <c r="C165" i="10"/>
  <c r="B165" i="10"/>
  <c r="C38" i="10"/>
  <c r="B38" i="10"/>
  <c r="C153" i="10"/>
  <c r="B153" i="10"/>
  <c r="C17" i="10"/>
  <c r="B17" i="10"/>
  <c r="C101" i="10"/>
  <c r="B101" i="10"/>
  <c r="C18" i="10"/>
  <c r="B18" i="10"/>
  <c r="B42" i="10"/>
  <c r="C42" i="10"/>
  <c r="C80" i="10"/>
  <c r="B80" i="10"/>
  <c r="B135" i="10"/>
  <c r="C135" i="10"/>
  <c r="E3" i="7"/>
  <c r="G3" i="7" s="1"/>
  <c r="T63" i="1"/>
  <c r="B79" i="11"/>
  <c r="B67" i="11"/>
  <c r="B107" i="11"/>
  <c r="B46" i="11"/>
  <c r="B74" i="11"/>
  <c r="B34" i="11"/>
  <c r="B41" i="11"/>
  <c r="B19" i="11"/>
  <c r="B80" i="11"/>
  <c r="B40" i="11"/>
  <c r="B116" i="11"/>
  <c r="B159" i="11"/>
  <c r="T31" i="1"/>
  <c r="T144" i="1"/>
  <c r="AB93" i="1"/>
  <c r="AC93" i="1" s="1"/>
  <c r="AD93" i="1" s="1"/>
  <c r="AB91" i="1"/>
  <c r="AC91" i="1" s="1"/>
  <c r="AD91" i="1" s="1"/>
  <c r="AB92" i="1"/>
  <c r="AC92" i="1" s="1"/>
  <c r="AD92" i="1" s="1"/>
  <c r="C129" i="10"/>
  <c r="B129" i="10"/>
  <c r="C20" i="10"/>
  <c r="B20" i="10"/>
  <c r="C98" i="10"/>
  <c r="B98" i="10"/>
  <c r="C21" i="10"/>
  <c r="B21" i="10"/>
  <c r="C54" i="10"/>
  <c r="B54" i="10"/>
  <c r="C166" i="10"/>
  <c r="B166" i="10"/>
  <c r="C39" i="10"/>
  <c r="B39" i="10"/>
  <c r="C127" i="10"/>
  <c r="B127" i="10"/>
  <c r="C24" i="10"/>
  <c r="B24" i="10"/>
  <c r="B56" i="10"/>
  <c r="C56" i="10"/>
  <c r="C85" i="10"/>
  <c r="B85" i="10"/>
  <c r="C149" i="10"/>
  <c r="B149" i="10"/>
  <c r="T12" i="1"/>
  <c r="T140" i="1"/>
  <c r="B8" i="11"/>
  <c r="B112" i="11"/>
  <c r="B94" i="11"/>
  <c r="B114" i="11"/>
  <c r="B73" i="11"/>
  <c r="B97" i="11"/>
  <c r="B37" i="11"/>
  <c r="B44" i="11"/>
  <c r="B22" i="11"/>
  <c r="B85" i="11"/>
  <c r="B45" i="11"/>
  <c r="B127" i="11"/>
  <c r="B166" i="11"/>
  <c r="T130" i="1"/>
  <c r="AB108" i="1"/>
  <c r="AC108" i="1" s="1"/>
  <c r="AD108" i="1" s="1"/>
  <c r="AB101" i="1"/>
  <c r="AC101" i="1" s="1"/>
  <c r="AD101" i="1" s="1"/>
  <c r="AB97" i="1"/>
  <c r="AC97" i="1" s="1"/>
  <c r="AD97" i="1" s="1"/>
  <c r="AB102" i="1"/>
  <c r="AC102" i="1" s="1"/>
  <c r="AD102" i="1" s="1"/>
  <c r="AB107" i="1"/>
  <c r="AC107" i="1" s="1"/>
  <c r="AD107" i="1" s="1"/>
  <c r="AB106" i="1"/>
  <c r="AC106" i="1" s="1"/>
  <c r="AD106" i="1" s="1"/>
  <c r="AB105" i="1"/>
  <c r="AC105" i="1" s="1"/>
  <c r="AD105" i="1" s="1"/>
  <c r="AB104" i="1"/>
  <c r="AC104" i="1" s="1"/>
  <c r="AD104" i="1" s="1"/>
  <c r="AB99" i="1"/>
  <c r="AC99" i="1" s="1"/>
  <c r="AD99" i="1" s="1"/>
  <c r="AB100" i="1"/>
  <c r="AC100" i="1" s="1"/>
  <c r="AD100" i="1" s="1"/>
  <c r="AB103" i="1"/>
  <c r="AC103" i="1" s="1"/>
  <c r="AD103" i="1" s="1"/>
  <c r="AB98" i="1"/>
  <c r="AC98" i="1" s="1"/>
  <c r="AD98" i="1" s="1"/>
  <c r="C26" i="10"/>
  <c r="B26" i="10"/>
  <c r="C66" i="10"/>
  <c r="B66" i="10"/>
  <c r="B145" i="10"/>
  <c r="C145" i="10"/>
  <c r="B153" i="11"/>
  <c r="T123" i="1"/>
  <c r="T125" i="1"/>
  <c r="C27" i="10"/>
  <c r="B27" i="10"/>
  <c r="C151" i="10"/>
  <c r="B151" i="10"/>
  <c r="AB34" i="1"/>
  <c r="AC34" i="1" s="1"/>
  <c r="AD34" i="1" s="1"/>
  <c r="AB27" i="1"/>
  <c r="AC27" i="1" s="1"/>
  <c r="AD27" i="1" s="1"/>
  <c r="AB30" i="1"/>
  <c r="AC30" i="1" s="1"/>
  <c r="AD30" i="1" s="1"/>
  <c r="AB29" i="1"/>
  <c r="AC29" i="1" s="1"/>
  <c r="AD29" i="1" s="1"/>
  <c r="AB35" i="1"/>
  <c r="AC35" i="1" s="1"/>
  <c r="AD35" i="1" s="1"/>
  <c r="AB28" i="1"/>
  <c r="AC28" i="1" s="1"/>
  <c r="AD28" i="1" s="1"/>
  <c r="AB33" i="1"/>
  <c r="AC33" i="1" s="1"/>
  <c r="AD33" i="1" s="1"/>
  <c r="AB26" i="1"/>
  <c r="AC26" i="1" s="1"/>
  <c r="AD26" i="1" s="1"/>
  <c r="AB32" i="1"/>
  <c r="AC32" i="1" s="1"/>
  <c r="AD32" i="1" s="1"/>
  <c r="AB31" i="1"/>
  <c r="AC31" i="1" s="1"/>
  <c r="AD31" i="1" s="1"/>
  <c r="B134" i="11"/>
  <c r="B119" i="11"/>
  <c r="AB136" i="1"/>
  <c r="AC136" i="1" s="1"/>
  <c r="AD136" i="1" s="1"/>
  <c r="AB130" i="1"/>
  <c r="AC130" i="1" s="1"/>
  <c r="AD130" i="1" s="1"/>
  <c r="T107" i="1"/>
  <c r="T99" i="1"/>
  <c r="T103" i="1"/>
  <c r="AB134" i="1"/>
  <c r="AC134" i="1" s="1"/>
  <c r="AD134" i="1" s="1"/>
  <c r="T49" i="1"/>
  <c r="AB90" i="1"/>
  <c r="AC90" i="1" s="1"/>
  <c r="AD90" i="1" s="1"/>
  <c r="T57" i="1"/>
  <c r="T72" i="1"/>
  <c r="C13" i="10"/>
  <c r="B13" i="10"/>
  <c r="C3" i="10"/>
  <c r="B3" i="10"/>
  <c r="C36" i="10"/>
  <c r="B36" i="10"/>
  <c r="B130" i="10"/>
  <c r="C130" i="10"/>
  <c r="C37" i="10"/>
  <c r="B37" i="10"/>
  <c r="C76" i="10"/>
  <c r="B76" i="10"/>
  <c r="C6" i="10"/>
  <c r="B6" i="10"/>
  <c r="C55" i="10"/>
  <c r="B55" i="10"/>
  <c r="C134" i="10"/>
  <c r="B134" i="10"/>
  <c r="C40" i="10"/>
  <c r="B40" i="10"/>
  <c r="B70" i="10"/>
  <c r="C70" i="10"/>
  <c r="B90" i="10"/>
  <c r="C90" i="10"/>
  <c r="B163" i="10"/>
  <c r="C163" i="10"/>
  <c r="B43" i="11"/>
  <c r="B13" i="11"/>
  <c r="B130" i="11"/>
  <c r="B3" i="11"/>
  <c r="B109" i="11"/>
  <c r="B126" i="11"/>
  <c r="B63" i="11"/>
  <c r="B89" i="11"/>
  <c r="B48" i="11"/>
  <c r="B90" i="11"/>
  <c r="B50" i="11"/>
  <c r="B135" i="11"/>
  <c r="T154" i="1"/>
  <c r="T157" i="1"/>
  <c r="T152" i="1"/>
  <c r="T141" i="1"/>
  <c r="T64" i="1"/>
  <c r="T65" i="1"/>
  <c r="AD65" i="1"/>
  <c r="AB129" i="1"/>
  <c r="AC129" i="1" s="1"/>
  <c r="AD129" i="1" s="1"/>
  <c r="AB131" i="1"/>
  <c r="AC131" i="1" s="1"/>
  <c r="AD131" i="1" s="1"/>
  <c r="AB94" i="1"/>
  <c r="AC94" i="1" s="1"/>
  <c r="AD94" i="1" s="1"/>
  <c r="T47" i="1"/>
  <c r="T94" i="1"/>
  <c r="C51" i="10"/>
  <c r="B51" i="10"/>
  <c r="C25" i="10"/>
  <c r="B25" i="10"/>
  <c r="C58" i="10"/>
  <c r="B58" i="10"/>
  <c r="B158" i="10"/>
  <c r="C158" i="10"/>
  <c r="C43" i="10"/>
  <c r="B43" i="10"/>
  <c r="C99" i="10"/>
  <c r="B99" i="10"/>
  <c r="C22" i="10"/>
  <c r="B22" i="10"/>
  <c r="C77" i="10"/>
  <c r="B77" i="10"/>
  <c r="C168" i="10"/>
  <c r="B168" i="10"/>
  <c r="C62" i="10"/>
  <c r="B62" i="10"/>
  <c r="B110" i="10"/>
  <c r="C110" i="10"/>
  <c r="C95" i="10"/>
  <c r="B95" i="10"/>
  <c r="T16" i="1"/>
  <c r="H2" i="7"/>
  <c r="I2" i="7" s="1"/>
  <c r="B104" i="11"/>
  <c r="B21" i="11"/>
  <c r="B9" i="11"/>
  <c r="B27" i="11"/>
  <c r="B133" i="11"/>
  <c r="B137" i="11"/>
  <c r="B82" i="11"/>
  <c r="B92" i="11"/>
  <c r="B51" i="11"/>
  <c r="B95" i="11"/>
  <c r="B55" i="11"/>
  <c r="B146" i="11"/>
  <c r="AB168" i="1"/>
  <c r="AC168" i="1" s="1"/>
  <c r="AD168" i="1" s="1"/>
  <c r="AB169" i="1"/>
  <c r="AC169" i="1" s="1"/>
  <c r="AD169" i="1" s="1"/>
  <c r="AB167" i="1"/>
  <c r="AC167" i="1" s="1"/>
  <c r="AD167" i="1" s="1"/>
  <c r="AB166" i="1"/>
  <c r="AC166" i="1" s="1"/>
  <c r="AD166" i="1" s="1"/>
  <c r="AB165" i="1"/>
  <c r="AC165" i="1" s="1"/>
  <c r="AD165" i="1" s="1"/>
  <c r="AB170" i="1"/>
  <c r="AC170" i="1" s="1"/>
  <c r="AD170" i="1" s="1"/>
  <c r="AB164" i="1"/>
  <c r="AC164" i="1" s="1"/>
  <c r="AD164" i="1" s="1"/>
  <c r="C93" i="10"/>
  <c r="B93" i="10"/>
  <c r="B29" i="10"/>
  <c r="C29" i="10"/>
  <c r="B128" i="10"/>
  <c r="C128" i="10"/>
  <c r="AB42" i="1"/>
  <c r="AC42" i="1" s="1"/>
  <c r="AD42" i="1" s="1"/>
  <c r="AB37" i="1"/>
  <c r="AC37" i="1" s="1"/>
  <c r="AD37" i="1" s="1"/>
  <c r="AB43" i="1"/>
  <c r="AC43" i="1" s="1"/>
  <c r="AD43" i="1" s="1"/>
  <c r="AB41" i="1"/>
  <c r="AC41" i="1" s="1"/>
  <c r="AD41" i="1" s="1"/>
  <c r="AB40" i="1"/>
  <c r="AC40" i="1" s="1"/>
  <c r="AD40" i="1" s="1"/>
  <c r="AB38" i="1"/>
  <c r="AC38" i="1" s="1"/>
  <c r="AD38" i="1" s="1"/>
  <c r="AB39" i="1"/>
  <c r="AC39" i="1" s="1"/>
  <c r="AD39" i="1" s="1"/>
  <c r="B56" i="11"/>
  <c r="B113" i="11"/>
  <c r="C103" i="10"/>
  <c r="B103" i="10"/>
  <c r="C154" i="10"/>
  <c r="B154" i="10"/>
  <c r="T9" i="1"/>
  <c r="B106" i="11"/>
  <c r="AB155" i="1"/>
  <c r="AC155" i="1" s="1"/>
  <c r="AD155" i="1" s="1"/>
  <c r="AB158" i="1"/>
  <c r="AC158" i="1" s="1"/>
  <c r="AD158" i="1" s="1"/>
  <c r="AB154" i="1"/>
  <c r="AC154" i="1" s="1"/>
  <c r="AD154" i="1" s="1"/>
  <c r="AB157" i="1"/>
  <c r="AC157" i="1" s="1"/>
  <c r="AD157" i="1" s="1"/>
  <c r="AB156" i="1"/>
  <c r="AC156" i="1" s="1"/>
  <c r="AD156" i="1" s="1"/>
  <c r="T132" i="1"/>
  <c r="T168" i="1"/>
  <c r="T148" i="1"/>
  <c r="AB137" i="1"/>
  <c r="AC137" i="1" s="1"/>
  <c r="AD137" i="1" s="1"/>
  <c r="T146" i="1"/>
  <c r="T149" i="1"/>
  <c r="T127" i="1"/>
  <c r="T93" i="1"/>
  <c r="T155" i="1"/>
  <c r="AB138" i="1"/>
  <c r="AC138" i="1" s="1"/>
  <c r="AD138" i="1" s="1"/>
  <c r="T79" i="1"/>
  <c r="C52" i="10"/>
  <c r="B52" i="10"/>
  <c r="C41" i="10"/>
  <c r="B41" i="10"/>
  <c r="C74" i="10"/>
  <c r="B74" i="10"/>
  <c r="C4" i="10"/>
  <c r="B4" i="10"/>
  <c r="C59" i="10"/>
  <c r="B59" i="10"/>
  <c r="C112" i="10"/>
  <c r="B112" i="10"/>
  <c r="C44" i="10"/>
  <c r="B44" i="10"/>
  <c r="C113" i="10"/>
  <c r="B113" i="10"/>
  <c r="B7" i="10"/>
  <c r="C7" i="10"/>
  <c r="C78" i="10"/>
  <c r="B78" i="10"/>
  <c r="B122" i="10"/>
  <c r="C122" i="10"/>
  <c r="C100" i="10"/>
  <c r="B100" i="10"/>
  <c r="T133" i="1"/>
  <c r="AB142" i="1"/>
  <c r="AC142" i="1" s="1"/>
  <c r="AD142" i="1" s="1"/>
  <c r="AB143" i="1"/>
  <c r="AC143" i="1" s="1"/>
  <c r="AD143" i="1" s="1"/>
  <c r="AB144" i="1"/>
  <c r="AC144" i="1" s="1"/>
  <c r="AD144" i="1" s="1"/>
  <c r="AB140" i="1"/>
  <c r="AC140" i="1" s="1"/>
  <c r="AD140" i="1" s="1"/>
  <c r="AB141" i="1"/>
  <c r="AC141" i="1" s="1"/>
  <c r="AD141" i="1" s="1"/>
  <c r="H2" i="8"/>
  <c r="I2" i="8" s="1"/>
  <c r="B47" i="11"/>
  <c r="B66" i="11"/>
  <c r="B36" i="11"/>
  <c r="B32" i="11"/>
  <c r="B78" i="11"/>
  <c r="B141" i="11"/>
  <c r="B125" i="11"/>
  <c r="B115" i="11"/>
  <c r="B96" i="11"/>
  <c r="B100" i="11"/>
  <c r="B60" i="11"/>
  <c r="B154" i="11"/>
  <c r="C57" i="10"/>
  <c r="B57" i="10"/>
  <c r="C63" i="10"/>
  <c r="B63" i="10"/>
  <c r="C86" i="10"/>
  <c r="B86" i="10"/>
  <c r="C10" i="10"/>
  <c r="B10" i="10"/>
  <c r="C87" i="10"/>
  <c r="B87" i="10"/>
  <c r="C132" i="10"/>
  <c r="B132" i="10"/>
  <c r="C60" i="10"/>
  <c r="B60" i="10"/>
  <c r="C126" i="10"/>
  <c r="B126" i="10"/>
  <c r="C23" i="10"/>
  <c r="B23" i="10"/>
  <c r="C84" i="10"/>
  <c r="B84" i="10"/>
  <c r="C139" i="10"/>
  <c r="B139" i="10"/>
  <c r="C105" i="10"/>
  <c r="B105" i="10"/>
  <c r="T37" i="1"/>
  <c r="C10" i="7"/>
  <c r="K10" i="7" s="1"/>
  <c r="C3" i="8" s="1"/>
  <c r="K3" i="8" s="1"/>
  <c r="B52" i="11"/>
  <c r="B71" i="11"/>
  <c r="B49" i="11"/>
  <c r="B123" i="11"/>
  <c r="B4" i="11"/>
  <c r="B158" i="11"/>
  <c r="B142" i="11"/>
  <c r="B136" i="11"/>
  <c r="B99" i="11"/>
  <c r="B105" i="11"/>
  <c r="B65" i="11"/>
  <c r="C5" i="8" l="1"/>
  <c r="K5" i="8" s="1"/>
  <c r="E15" i="11"/>
  <c r="C117" i="11"/>
  <c r="D117" i="11"/>
  <c r="F117" i="11"/>
  <c r="E157" i="11"/>
  <c r="D15" i="11"/>
  <c r="A117" i="11"/>
  <c r="F157" i="11"/>
  <c r="D157" i="11"/>
  <c r="A157" i="11"/>
  <c r="D10" i="7"/>
  <c r="M10" i="7" s="1"/>
  <c r="D3" i="8" s="1"/>
  <c r="M3" i="8" s="1"/>
  <c r="D8" i="7"/>
  <c r="M8" i="7" s="1"/>
  <c r="C15" i="11"/>
  <c r="D11" i="7"/>
  <c r="M11" i="7" s="1"/>
  <c r="D4" i="8" s="1"/>
  <c r="M4" i="8" s="1"/>
  <c r="F15" i="11"/>
  <c r="D4" i="7"/>
  <c r="M4" i="7" s="1"/>
  <c r="D3" i="7"/>
  <c r="M3" i="7" s="1"/>
  <c r="C105" i="11"/>
  <c r="E105" i="11"/>
  <c r="D105" i="11"/>
  <c r="F105" i="11"/>
  <c r="A105" i="11"/>
  <c r="A82" i="11"/>
  <c r="F82" i="11"/>
  <c r="E82" i="11"/>
  <c r="D82" i="11"/>
  <c r="C82" i="11"/>
  <c r="F4" i="11"/>
  <c r="E4" i="11"/>
  <c r="C4" i="11"/>
  <c r="A4" i="11"/>
  <c r="D4" i="11"/>
  <c r="F66" i="11"/>
  <c r="E66" i="11"/>
  <c r="C66" i="11"/>
  <c r="D66" i="11"/>
  <c r="A66" i="11"/>
  <c r="C21" i="11"/>
  <c r="F21" i="11"/>
  <c r="D21" i="11"/>
  <c r="E21" i="11"/>
  <c r="A21" i="11"/>
  <c r="F3" i="11"/>
  <c r="E3" i="11"/>
  <c r="D3" i="11"/>
  <c r="C3" i="11"/>
  <c r="A3" i="11"/>
  <c r="D112" i="11"/>
  <c r="C112" i="11"/>
  <c r="A112" i="11"/>
  <c r="F112" i="11"/>
  <c r="E112" i="11"/>
  <c r="D41" i="11"/>
  <c r="C41" i="11"/>
  <c r="F41" i="11"/>
  <c r="E41" i="11"/>
  <c r="A41" i="11"/>
  <c r="F118" i="11"/>
  <c r="E118" i="11"/>
  <c r="D118" i="11"/>
  <c r="C118" i="11"/>
  <c r="A118" i="11"/>
  <c r="A33" i="11"/>
  <c r="E33" i="11"/>
  <c r="D33" i="11"/>
  <c r="C33" i="11"/>
  <c r="F33" i="11"/>
  <c r="F128" i="11"/>
  <c r="E128" i="11"/>
  <c r="D128" i="11"/>
  <c r="C128" i="11"/>
  <c r="A128" i="11"/>
  <c r="F121" i="11"/>
  <c r="E121" i="11"/>
  <c r="D121" i="11"/>
  <c r="C121" i="11"/>
  <c r="A121" i="11"/>
  <c r="F102" i="11"/>
  <c r="E102" i="11"/>
  <c r="A102" i="11"/>
  <c r="D102" i="11"/>
  <c r="C102" i="11"/>
  <c r="E139" i="11"/>
  <c r="D139" i="11"/>
  <c r="C139" i="11"/>
  <c r="A139" i="11"/>
  <c r="F139" i="11"/>
  <c r="E59" i="11"/>
  <c r="F59" i="11"/>
  <c r="D59" i="11"/>
  <c r="C59" i="11"/>
  <c r="A59" i="11"/>
  <c r="E30" i="11"/>
  <c r="A30" i="11"/>
  <c r="F30" i="11"/>
  <c r="D30" i="11"/>
  <c r="C30" i="11"/>
  <c r="A64" i="11"/>
  <c r="F64" i="11"/>
  <c r="E64" i="11"/>
  <c r="D64" i="11"/>
  <c r="C64" i="11"/>
  <c r="A88" i="11"/>
  <c r="E88" i="11"/>
  <c r="F88" i="11"/>
  <c r="D88" i="11"/>
  <c r="C88" i="11"/>
  <c r="A74" i="11"/>
  <c r="F74" i="11"/>
  <c r="E74" i="11"/>
  <c r="D74" i="11"/>
  <c r="C74" i="11"/>
  <c r="F62" i="11"/>
  <c r="E62" i="11"/>
  <c r="D62" i="11"/>
  <c r="C62" i="11"/>
  <c r="A62" i="11"/>
  <c r="D162" i="11"/>
  <c r="C162" i="11"/>
  <c r="E162" i="11"/>
  <c r="A162" i="11"/>
  <c r="F162" i="11"/>
  <c r="E58" i="11"/>
  <c r="F58" i="11"/>
  <c r="D58" i="11"/>
  <c r="C58" i="11"/>
  <c r="A58" i="11"/>
  <c r="D143" i="11"/>
  <c r="C143" i="11"/>
  <c r="E143" i="11"/>
  <c r="A143" i="11"/>
  <c r="F143" i="11"/>
  <c r="F18" i="11"/>
  <c r="E18" i="11"/>
  <c r="C18" i="11"/>
  <c r="D18" i="11"/>
  <c r="A18" i="11"/>
  <c r="F123" i="11"/>
  <c r="E123" i="11"/>
  <c r="D123" i="11"/>
  <c r="C123" i="11"/>
  <c r="A123" i="11"/>
  <c r="F130" i="11"/>
  <c r="E130" i="11"/>
  <c r="D130" i="11"/>
  <c r="C130" i="11"/>
  <c r="A130" i="11"/>
  <c r="A8" i="11"/>
  <c r="F8" i="11"/>
  <c r="E8" i="11"/>
  <c r="D8" i="11"/>
  <c r="C8" i="11"/>
  <c r="F101" i="11"/>
  <c r="D101" i="11"/>
  <c r="C101" i="11"/>
  <c r="A101" i="11"/>
  <c r="E101" i="11"/>
  <c r="E16" i="11"/>
  <c r="A16" i="11"/>
  <c r="F16" i="11"/>
  <c r="D16" i="11"/>
  <c r="C16" i="11"/>
  <c r="F29" i="11"/>
  <c r="C29" i="11"/>
  <c r="A29" i="11"/>
  <c r="E29" i="11"/>
  <c r="D29" i="11"/>
  <c r="C84" i="11"/>
  <c r="F84" i="11"/>
  <c r="E84" i="11"/>
  <c r="D84" i="11"/>
  <c r="A84" i="11"/>
  <c r="C98" i="11"/>
  <c r="A98" i="11"/>
  <c r="F98" i="11"/>
  <c r="D98" i="11"/>
  <c r="E98" i="11"/>
  <c r="A10" i="11"/>
  <c r="F10" i="11"/>
  <c r="E10" i="11"/>
  <c r="D10" i="11"/>
  <c r="C10" i="11"/>
  <c r="C49" i="11"/>
  <c r="F49" i="11"/>
  <c r="E49" i="11"/>
  <c r="D49" i="11"/>
  <c r="A49" i="11"/>
  <c r="A13" i="11"/>
  <c r="F13" i="11"/>
  <c r="E13" i="11"/>
  <c r="D13" i="11"/>
  <c r="C13" i="11"/>
  <c r="C7" i="11"/>
  <c r="D7" i="11"/>
  <c r="F7" i="11"/>
  <c r="E7" i="11"/>
  <c r="A7" i="11"/>
  <c r="A54" i="11"/>
  <c r="C54" i="11"/>
  <c r="F54" i="11"/>
  <c r="E54" i="11"/>
  <c r="D54" i="11"/>
  <c r="A5" i="11"/>
  <c r="F5" i="11"/>
  <c r="E5" i="11"/>
  <c r="D5" i="11"/>
  <c r="C5" i="11"/>
  <c r="F169" i="11"/>
  <c r="E169" i="11"/>
  <c r="D169" i="11"/>
  <c r="C169" i="11"/>
  <c r="A169" i="11"/>
  <c r="E17" i="11"/>
  <c r="D17" i="11"/>
  <c r="C17" i="11"/>
  <c r="F17" i="11"/>
  <c r="A17" i="11"/>
  <c r="A145" i="11"/>
  <c r="F145" i="11"/>
  <c r="E145" i="11"/>
  <c r="D145" i="11"/>
  <c r="C145" i="11"/>
  <c r="A152" i="11"/>
  <c r="F152" i="11"/>
  <c r="E152" i="11"/>
  <c r="C152" i="11"/>
  <c r="D152" i="11"/>
  <c r="C150" i="11"/>
  <c r="A150" i="11"/>
  <c r="F150" i="11"/>
  <c r="E150" i="11"/>
  <c r="D150" i="11"/>
  <c r="F148" i="11"/>
  <c r="E148" i="11"/>
  <c r="D148" i="11"/>
  <c r="C148" i="11"/>
  <c r="A148" i="11"/>
  <c r="F163" i="11"/>
  <c r="E163" i="11"/>
  <c r="D163" i="11"/>
  <c r="C163" i="11"/>
  <c r="A163" i="11"/>
  <c r="E86" i="11"/>
  <c r="C86" i="11"/>
  <c r="A86" i="11"/>
  <c r="F86" i="11"/>
  <c r="D86" i="11"/>
  <c r="E93" i="11"/>
  <c r="A93" i="11"/>
  <c r="F93" i="11"/>
  <c r="D93" i="11"/>
  <c r="C93" i="11"/>
  <c r="C2" i="8"/>
  <c r="K2" i="8" s="1"/>
  <c r="A131" i="11"/>
  <c r="F131" i="11"/>
  <c r="E131" i="11"/>
  <c r="C131" i="11"/>
  <c r="D131" i="11"/>
  <c r="D5" i="7"/>
  <c r="M5" i="7" s="1"/>
  <c r="E6" i="11"/>
  <c r="D6" i="11"/>
  <c r="F6" i="11"/>
  <c r="C6" i="11"/>
  <c r="A6" i="11"/>
  <c r="F156" i="11"/>
  <c r="E156" i="11"/>
  <c r="D156" i="11"/>
  <c r="C156" i="11"/>
  <c r="A156" i="11"/>
  <c r="A20" i="11"/>
  <c r="D20" i="11"/>
  <c r="C20" i="11"/>
  <c r="F20" i="11"/>
  <c r="E20" i="11"/>
  <c r="C77" i="11"/>
  <c r="F77" i="11"/>
  <c r="E77" i="11"/>
  <c r="D77" i="11"/>
  <c r="A77" i="11"/>
  <c r="F111" i="11"/>
  <c r="E111" i="11"/>
  <c r="C111" i="11"/>
  <c r="D111" i="11"/>
  <c r="A111" i="11"/>
  <c r="D132" i="11"/>
  <c r="C132" i="11"/>
  <c r="F132" i="11"/>
  <c r="E132" i="11"/>
  <c r="A132" i="11"/>
  <c r="F104" i="11"/>
  <c r="D104" i="11"/>
  <c r="C104" i="11"/>
  <c r="A104" i="11"/>
  <c r="E104" i="11"/>
  <c r="A124" i="11"/>
  <c r="D124" i="11"/>
  <c r="C124" i="11"/>
  <c r="E124" i="11"/>
  <c r="F124" i="11"/>
  <c r="F164" i="11"/>
  <c r="A164" i="11"/>
  <c r="E164" i="11"/>
  <c r="D164" i="11"/>
  <c r="C164" i="11"/>
  <c r="A108" i="11"/>
  <c r="F108" i="11"/>
  <c r="E108" i="11"/>
  <c r="D108" i="11"/>
  <c r="C108" i="11"/>
  <c r="A12" i="11"/>
  <c r="E12" i="11"/>
  <c r="D12" i="11"/>
  <c r="C12" i="11"/>
  <c r="F12" i="11"/>
  <c r="D2" i="7"/>
  <c r="M2" i="7" s="1"/>
  <c r="D90" i="11"/>
  <c r="C90" i="11"/>
  <c r="F90" i="11"/>
  <c r="E90" i="11"/>
  <c r="A90" i="11"/>
  <c r="F149" i="11"/>
  <c r="E149" i="11"/>
  <c r="D149" i="11"/>
  <c r="C149" i="11"/>
  <c r="A149" i="11"/>
  <c r="F125" i="11"/>
  <c r="E125" i="11"/>
  <c r="D125" i="11"/>
  <c r="C125" i="11"/>
  <c r="A125" i="11"/>
  <c r="A48" i="11"/>
  <c r="F48" i="11"/>
  <c r="E48" i="11"/>
  <c r="D48" i="11"/>
  <c r="C48" i="11"/>
  <c r="E37" i="11"/>
  <c r="F37" i="11"/>
  <c r="D37" i="11"/>
  <c r="C37" i="11"/>
  <c r="A37" i="11"/>
  <c r="C70" i="11"/>
  <c r="D70" i="11"/>
  <c r="A70" i="11"/>
  <c r="E70" i="11"/>
  <c r="F70" i="11"/>
  <c r="A61" i="11"/>
  <c r="F61" i="11"/>
  <c r="E61" i="11"/>
  <c r="D61" i="11"/>
  <c r="C61" i="11"/>
  <c r="E11" i="11"/>
  <c r="A11" i="11"/>
  <c r="F11" i="11"/>
  <c r="D11" i="11"/>
  <c r="C11" i="11"/>
  <c r="D113" i="11"/>
  <c r="C113" i="11"/>
  <c r="F113" i="11"/>
  <c r="E113" i="11"/>
  <c r="A113" i="11"/>
  <c r="A89" i="11"/>
  <c r="D89" i="11"/>
  <c r="C89" i="11"/>
  <c r="F89" i="11"/>
  <c r="E89" i="11"/>
  <c r="F153" i="11"/>
  <c r="D153" i="11"/>
  <c r="C153" i="11"/>
  <c r="A153" i="11"/>
  <c r="E153" i="11"/>
  <c r="F97" i="11"/>
  <c r="E97" i="11"/>
  <c r="C97" i="11"/>
  <c r="A97" i="11"/>
  <c r="D97" i="11"/>
  <c r="A116" i="11"/>
  <c r="F116" i="11"/>
  <c r="E116" i="11"/>
  <c r="D116" i="11"/>
  <c r="C116" i="11"/>
  <c r="F155" i="11"/>
  <c r="D155" i="11"/>
  <c r="C155" i="11"/>
  <c r="A155" i="11"/>
  <c r="E155" i="11"/>
  <c r="F167" i="11"/>
  <c r="E167" i="11"/>
  <c r="D167" i="11"/>
  <c r="C167" i="11"/>
  <c r="A167" i="11"/>
  <c r="C28" i="11"/>
  <c r="F28" i="11"/>
  <c r="E28" i="11"/>
  <c r="D28" i="11"/>
  <c r="A28" i="11"/>
  <c r="D151" i="11"/>
  <c r="C151" i="11"/>
  <c r="F151" i="11"/>
  <c r="E151" i="11"/>
  <c r="A151" i="11"/>
  <c r="E72" i="11"/>
  <c r="F72" i="11"/>
  <c r="D72" i="11"/>
  <c r="C72" i="11"/>
  <c r="A72" i="11"/>
  <c r="A25" i="11"/>
  <c r="E25" i="11"/>
  <c r="D25" i="11"/>
  <c r="C25" i="11"/>
  <c r="F25" i="11"/>
  <c r="F57" i="11"/>
  <c r="E57" i="11"/>
  <c r="D57" i="11"/>
  <c r="C57" i="11"/>
  <c r="A57" i="11"/>
  <c r="F52" i="11"/>
  <c r="E52" i="11"/>
  <c r="D52" i="11"/>
  <c r="C52" i="11"/>
  <c r="A52" i="11"/>
  <c r="D154" i="11"/>
  <c r="C154" i="11"/>
  <c r="A154" i="11"/>
  <c r="E154" i="11"/>
  <c r="F154" i="11"/>
  <c r="D14" i="7"/>
  <c r="M14" i="7" s="1"/>
  <c r="D6" i="8" s="1"/>
  <c r="M6" i="8" s="1"/>
  <c r="A146" i="11"/>
  <c r="F146" i="11"/>
  <c r="E146" i="11"/>
  <c r="D146" i="11"/>
  <c r="C146" i="11"/>
  <c r="C55" i="11"/>
  <c r="A55" i="11"/>
  <c r="F55" i="11"/>
  <c r="E55" i="11"/>
  <c r="D55" i="11"/>
  <c r="D15" i="7"/>
  <c r="M15" i="7" s="1"/>
  <c r="D95" i="11"/>
  <c r="C95" i="11"/>
  <c r="F95" i="11"/>
  <c r="E95" i="11"/>
  <c r="A95" i="11"/>
  <c r="F135" i="11"/>
  <c r="E135" i="11"/>
  <c r="A135" i="11"/>
  <c r="D135" i="11"/>
  <c r="C135" i="11"/>
  <c r="D9" i="7"/>
  <c r="M9" i="7" s="1"/>
  <c r="D85" i="11"/>
  <c r="C85" i="11"/>
  <c r="E85" i="11"/>
  <c r="F85" i="11"/>
  <c r="A85" i="11"/>
  <c r="E79" i="11"/>
  <c r="F79" i="11"/>
  <c r="D79" i="11"/>
  <c r="C79" i="11"/>
  <c r="A79" i="11"/>
  <c r="A96" i="11"/>
  <c r="F96" i="11"/>
  <c r="E96" i="11"/>
  <c r="D96" i="11"/>
  <c r="C96" i="11"/>
  <c r="E51" i="11"/>
  <c r="A51" i="11"/>
  <c r="F51" i="11"/>
  <c r="D51" i="11"/>
  <c r="C51" i="11"/>
  <c r="D12" i="7"/>
  <c r="M12" i="7" s="1"/>
  <c r="C50" i="11"/>
  <c r="A50" i="11"/>
  <c r="F50" i="11"/>
  <c r="D50" i="11"/>
  <c r="E50" i="11"/>
  <c r="E22" i="11"/>
  <c r="D22" i="11"/>
  <c r="C22" i="11"/>
  <c r="A22" i="11"/>
  <c r="F22" i="11"/>
  <c r="E65" i="11"/>
  <c r="C65" i="11"/>
  <c r="A65" i="11"/>
  <c r="F65" i="11"/>
  <c r="D65" i="11"/>
  <c r="F115" i="11"/>
  <c r="D115" i="11"/>
  <c r="C115" i="11"/>
  <c r="A115" i="11"/>
  <c r="E115" i="11"/>
  <c r="F92" i="11"/>
  <c r="E92" i="11"/>
  <c r="D92" i="11"/>
  <c r="C92" i="11"/>
  <c r="A92" i="11"/>
  <c r="E44" i="11"/>
  <c r="D44" i="11"/>
  <c r="C44" i="11"/>
  <c r="F44" i="11"/>
  <c r="A44" i="11"/>
  <c r="F170" i="11"/>
  <c r="E170" i="11"/>
  <c r="D170" i="11"/>
  <c r="C170" i="11"/>
  <c r="A170" i="11"/>
  <c r="A138" i="11"/>
  <c r="F138" i="11"/>
  <c r="D138" i="11"/>
  <c r="C138" i="11"/>
  <c r="E138" i="11"/>
  <c r="A159" i="11"/>
  <c r="F159" i="11"/>
  <c r="E159" i="11"/>
  <c r="D159" i="11"/>
  <c r="C159" i="11"/>
  <c r="A99" i="11"/>
  <c r="F99" i="11"/>
  <c r="E99" i="11"/>
  <c r="D99" i="11"/>
  <c r="C99" i="11"/>
  <c r="D17" i="7"/>
  <c r="M17" i="7" s="1"/>
  <c r="A73" i="11"/>
  <c r="E73" i="11"/>
  <c r="D73" i="11"/>
  <c r="C73" i="11"/>
  <c r="F73" i="11"/>
  <c r="F24" i="11"/>
  <c r="D24" i="11"/>
  <c r="C24" i="11"/>
  <c r="A24" i="11"/>
  <c r="E24" i="11"/>
  <c r="F81" i="11"/>
  <c r="E81" i="11"/>
  <c r="D81" i="11"/>
  <c r="C81" i="11"/>
  <c r="A81" i="11"/>
  <c r="E2" i="11"/>
  <c r="C2" i="11"/>
  <c r="F2" i="11"/>
  <c r="D2" i="11"/>
  <c r="A2" i="11"/>
  <c r="D140" i="11"/>
  <c r="C140" i="11"/>
  <c r="F140" i="11"/>
  <c r="E140" i="11"/>
  <c r="A140" i="11"/>
  <c r="E122" i="11"/>
  <c r="D122" i="11"/>
  <c r="C122" i="11"/>
  <c r="A122" i="11"/>
  <c r="F122" i="11"/>
  <c r="A47" i="11"/>
  <c r="F47" i="11"/>
  <c r="E47" i="11"/>
  <c r="D47" i="11"/>
  <c r="C47" i="11"/>
  <c r="F34" i="11"/>
  <c r="E34" i="11"/>
  <c r="D34" i="11"/>
  <c r="C34" i="11"/>
  <c r="A34" i="11"/>
  <c r="A75" i="11"/>
  <c r="D75" i="11"/>
  <c r="C75" i="11"/>
  <c r="F75" i="11"/>
  <c r="E75" i="11"/>
  <c r="C35" i="11"/>
  <c r="A35" i="11"/>
  <c r="D35" i="11"/>
  <c r="F35" i="11"/>
  <c r="E35" i="11"/>
  <c r="E141" i="11"/>
  <c r="D141" i="11"/>
  <c r="F141" i="11"/>
  <c r="C141" i="11"/>
  <c r="A141" i="11"/>
  <c r="F137" i="11"/>
  <c r="E137" i="11"/>
  <c r="D137" i="11"/>
  <c r="C137" i="11"/>
  <c r="A137" i="11"/>
  <c r="D136" i="11"/>
  <c r="C136" i="11"/>
  <c r="A136" i="11"/>
  <c r="F136" i="11"/>
  <c r="E136" i="11"/>
  <c r="A78" i="11"/>
  <c r="D78" i="11"/>
  <c r="C78" i="11"/>
  <c r="F78" i="11"/>
  <c r="E78" i="11"/>
  <c r="C56" i="11"/>
  <c r="E56" i="11"/>
  <c r="A56" i="11"/>
  <c r="F56" i="11"/>
  <c r="D56" i="11"/>
  <c r="D133" i="11"/>
  <c r="C133" i="11"/>
  <c r="A133" i="11"/>
  <c r="F133" i="11"/>
  <c r="E133" i="11"/>
  <c r="C63" i="11"/>
  <c r="F63" i="11"/>
  <c r="E63" i="11"/>
  <c r="D63" i="11"/>
  <c r="A63" i="11"/>
  <c r="A40" i="11"/>
  <c r="C40" i="11"/>
  <c r="F40" i="11"/>
  <c r="E40" i="11"/>
  <c r="D40" i="11"/>
  <c r="D38" i="11"/>
  <c r="C38" i="11"/>
  <c r="E38" i="11"/>
  <c r="A38" i="11"/>
  <c r="F38" i="11"/>
  <c r="C91" i="11"/>
  <c r="F91" i="11"/>
  <c r="E91" i="11"/>
  <c r="D91" i="11"/>
  <c r="A91" i="11"/>
  <c r="F87" i="11"/>
  <c r="E87" i="11"/>
  <c r="C87" i="11"/>
  <c r="A87" i="11"/>
  <c r="D87" i="11"/>
  <c r="E120" i="11"/>
  <c r="D120" i="11"/>
  <c r="F120" i="11"/>
  <c r="C120" i="11"/>
  <c r="A120" i="11"/>
  <c r="F71" i="11"/>
  <c r="E71" i="11"/>
  <c r="D71" i="11"/>
  <c r="C71" i="11"/>
  <c r="A71" i="11"/>
  <c r="F106" i="11"/>
  <c r="E106" i="11"/>
  <c r="D106" i="11"/>
  <c r="C106" i="11"/>
  <c r="A106" i="11"/>
  <c r="F43" i="11"/>
  <c r="A43" i="11"/>
  <c r="E43" i="11"/>
  <c r="D43" i="11"/>
  <c r="C43" i="11"/>
  <c r="D7" i="7"/>
  <c r="M7" i="7" s="1"/>
  <c r="A166" i="11"/>
  <c r="F166" i="11"/>
  <c r="E166" i="11"/>
  <c r="D166" i="11"/>
  <c r="C166" i="11"/>
  <c r="D13" i="7"/>
  <c r="M13" i="7" s="1"/>
  <c r="F46" i="11"/>
  <c r="E46" i="11"/>
  <c r="D46" i="11"/>
  <c r="C46" i="11"/>
  <c r="A46" i="11"/>
  <c r="F39" i="11"/>
  <c r="E39" i="11"/>
  <c r="D39" i="11"/>
  <c r="C39" i="11"/>
  <c r="A39" i="11"/>
  <c r="A103" i="11"/>
  <c r="F103" i="11"/>
  <c r="E103" i="11"/>
  <c r="D103" i="11"/>
  <c r="C103" i="11"/>
  <c r="D6" i="7"/>
  <c r="M6" i="7" s="1"/>
  <c r="A68" i="11"/>
  <c r="F68" i="11"/>
  <c r="E68" i="11"/>
  <c r="D68" i="11"/>
  <c r="C68" i="11"/>
  <c r="D119" i="11"/>
  <c r="C119" i="11"/>
  <c r="A119" i="11"/>
  <c r="F119" i="11"/>
  <c r="E119" i="11"/>
  <c r="A127" i="11"/>
  <c r="F127" i="11"/>
  <c r="E127" i="11"/>
  <c r="D127" i="11"/>
  <c r="C127" i="11"/>
  <c r="E107" i="11"/>
  <c r="F107" i="11"/>
  <c r="D107" i="11"/>
  <c r="C107" i="11"/>
  <c r="A107" i="11"/>
  <c r="C60" i="11"/>
  <c r="A60" i="11"/>
  <c r="F60" i="11"/>
  <c r="E60" i="11"/>
  <c r="D60" i="11"/>
  <c r="F134" i="11"/>
  <c r="D134" i="11"/>
  <c r="C134" i="11"/>
  <c r="A134" i="11"/>
  <c r="E134" i="11"/>
  <c r="C45" i="11"/>
  <c r="A45" i="11"/>
  <c r="F45" i="11"/>
  <c r="E45" i="11"/>
  <c r="D45" i="11"/>
  <c r="F67" i="11"/>
  <c r="E67" i="11"/>
  <c r="D67" i="11"/>
  <c r="A67" i="11"/>
  <c r="C67" i="11"/>
  <c r="E100" i="11"/>
  <c r="D100" i="11"/>
  <c r="C100" i="11"/>
  <c r="F100" i="11"/>
  <c r="A100" i="11"/>
  <c r="E23" i="11"/>
  <c r="F23" i="11"/>
  <c r="D23" i="11"/>
  <c r="C23" i="11"/>
  <c r="A23" i="11"/>
  <c r="F142" i="11"/>
  <c r="E142" i="11"/>
  <c r="D142" i="11"/>
  <c r="C142" i="11"/>
  <c r="A142" i="11"/>
  <c r="E32" i="11"/>
  <c r="D32" i="11"/>
  <c r="C32" i="11"/>
  <c r="F32" i="11"/>
  <c r="A32" i="11"/>
  <c r="E27" i="11"/>
  <c r="D27" i="11"/>
  <c r="C27" i="11"/>
  <c r="F27" i="11"/>
  <c r="A27" i="11"/>
  <c r="D126" i="11"/>
  <c r="C126" i="11"/>
  <c r="F126" i="11"/>
  <c r="A126" i="11"/>
  <c r="E126" i="11"/>
  <c r="F114" i="11"/>
  <c r="E114" i="11"/>
  <c r="D114" i="11"/>
  <c r="C114" i="11"/>
  <c r="A114" i="11"/>
  <c r="D80" i="11"/>
  <c r="C80" i="11"/>
  <c r="F80" i="11"/>
  <c r="E80" i="11"/>
  <c r="A80" i="11"/>
  <c r="E76" i="11"/>
  <c r="D76" i="11"/>
  <c r="C76" i="11"/>
  <c r="A76" i="11"/>
  <c r="F76" i="11"/>
  <c r="F31" i="11"/>
  <c r="E31" i="11"/>
  <c r="D31" i="11"/>
  <c r="C31" i="11"/>
  <c r="A31" i="11"/>
  <c r="D147" i="11"/>
  <c r="C147" i="11"/>
  <c r="F147" i="11"/>
  <c r="E147" i="11"/>
  <c r="A147" i="11"/>
  <c r="A165" i="11"/>
  <c r="F165" i="11"/>
  <c r="E165" i="11"/>
  <c r="D165" i="11"/>
  <c r="C165" i="11"/>
  <c r="F129" i="11"/>
  <c r="E129" i="11"/>
  <c r="D129" i="11"/>
  <c r="C129" i="11"/>
  <c r="A129" i="11"/>
  <c r="A110" i="11"/>
  <c r="F110" i="11"/>
  <c r="E110" i="11"/>
  <c r="D110" i="11"/>
  <c r="C110" i="11"/>
  <c r="F53" i="11"/>
  <c r="D53" i="11"/>
  <c r="E53" i="11"/>
  <c r="C53" i="11"/>
  <c r="A53" i="11"/>
  <c r="D168" i="11"/>
  <c r="C168" i="11"/>
  <c r="F168" i="11"/>
  <c r="E168" i="11"/>
  <c r="A168" i="11"/>
  <c r="E158" i="11"/>
  <c r="D158" i="11"/>
  <c r="C158" i="11"/>
  <c r="F158" i="11"/>
  <c r="A158" i="11"/>
  <c r="F36" i="11"/>
  <c r="E36" i="11"/>
  <c r="D36" i="11"/>
  <c r="C36" i="11"/>
  <c r="A36" i="11"/>
  <c r="E9" i="11"/>
  <c r="F9" i="11"/>
  <c r="D9" i="11"/>
  <c r="C9" i="11"/>
  <c r="A9" i="11"/>
  <c r="F109" i="11"/>
  <c r="E109" i="11"/>
  <c r="D109" i="11"/>
  <c r="C109" i="11"/>
  <c r="A109" i="11"/>
  <c r="F94" i="11"/>
  <c r="E94" i="11"/>
  <c r="C94" i="11"/>
  <c r="D94" i="11"/>
  <c r="A94" i="11"/>
  <c r="A19" i="11"/>
  <c r="F19" i="11"/>
  <c r="E19" i="11"/>
  <c r="D19" i="11"/>
  <c r="C19" i="11"/>
  <c r="F69" i="11"/>
  <c r="E69" i="11"/>
  <c r="C69" i="11"/>
  <c r="A69" i="11"/>
  <c r="D69" i="11"/>
  <c r="A26" i="11"/>
  <c r="F26" i="11"/>
  <c r="E26" i="11"/>
  <c r="D26" i="11"/>
  <c r="C26" i="11"/>
  <c r="D161" i="11"/>
  <c r="C161" i="11"/>
  <c r="F161" i="11"/>
  <c r="E161" i="11"/>
  <c r="A161" i="11"/>
  <c r="E160" i="11"/>
  <c r="D160" i="11"/>
  <c r="C160" i="11"/>
  <c r="A160" i="11"/>
  <c r="F160" i="11"/>
  <c r="C14" i="11"/>
  <c r="F14" i="11"/>
  <c r="E14" i="11"/>
  <c r="D14" i="11"/>
  <c r="A14" i="11"/>
  <c r="F144" i="11"/>
  <c r="E144" i="11"/>
  <c r="C144" i="11"/>
  <c r="A144" i="11"/>
  <c r="D144" i="11"/>
  <c r="A83" i="11"/>
  <c r="C83" i="11"/>
  <c r="D83" i="11"/>
  <c r="F83" i="11"/>
  <c r="E83" i="11"/>
  <c r="C42" i="11"/>
  <c r="F42" i="11"/>
  <c r="E42" i="11"/>
  <c r="D42" i="11"/>
  <c r="A42" i="11"/>
  <c r="B2" i="9" l="1"/>
  <c r="D5" i="8"/>
  <c r="M5" i="8" s="1"/>
  <c r="D7" i="8"/>
  <c r="M7" i="8" s="1"/>
  <c r="D2" i="8"/>
  <c r="M2" i="8" s="1"/>
  <c r="C2" i="9" l="1"/>
</calcChain>
</file>

<file path=xl/sharedStrings.xml><?xml version="1.0" encoding="utf-8"?>
<sst xmlns="http://schemas.openxmlformats.org/spreadsheetml/2006/main" count="3599" uniqueCount="1722">
  <si>
    <t>Navigation: Use the + / – buttons in the left margin to expand/collapse each indicator section. Tip: Expand one indicator at a time.</t>
  </si>
  <si>
    <t>SCORE_NUM</t>
  </si>
  <si>
    <t>TARGET_SCORE_NUM</t>
  </si>
  <si>
    <t>ADJ_WEIGHT</t>
  </si>
  <si>
    <t>TOTAL_WEIGHT</t>
  </si>
  <si>
    <t>WEIGHT_SHARE</t>
  </si>
  <si>
    <t>WEIGHTED_SCORE</t>
  </si>
  <si>
    <t>NR_FLAG</t>
  </si>
  <si>
    <t>NR_SEQ</t>
  </si>
  <si>
    <t>ADJ_WEIGHT_TGT</t>
  </si>
  <si>
    <t>TOTAL_WEIGHT_TGT</t>
  </si>
  <si>
    <t>WEIGHT_SHARE_TGT</t>
  </si>
  <si>
    <t>WEIGHTED_SCORE_TGT</t>
  </si>
  <si>
    <t>NR_FLAG_TGT</t>
  </si>
  <si>
    <t>DIFF_FLAG</t>
  </si>
  <si>
    <t>DIFF_SEQ</t>
  </si>
  <si>
    <t>Quality Indicator</t>
  </si>
  <si>
    <t>DIM_ID</t>
  </si>
  <si>
    <t>ELEM_ID</t>
  </si>
  <si>
    <t>QIND_ID</t>
  </si>
  <si>
    <t>RBP_ID</t>
  </si>
  <si>
    <t>Standards and Codes (S&amp;C)</t>
  </si>
  <si>
    <t>WEIGHT</t>
  </si>
  <si>
    <t>Current Observance</t>
  </si>
  <si>
    <t>Target Observance</t>
  </si>
  <si>
    <t>COMMENT</t>
  </si>
  <si>
    <t>REFERENCES</t>
  </si>
  <si>
    <t>SCORE</t>
  </si>
  <si>
    <t>TARGET_SCORE</t>
  </si>
  <si>
    <t>KEY_TYPE</t>
  </si>
  <si>
    <t>STANDARD</t>
  </si>
  <si>
    <t>E_DESC</t>
  </si>
  <si>
    <t>SORT_ORDER</t>
  </si>
  <si>
    <t>Statistical Registers are adequate</t>
  </si>
  <si>
    <t>4</t>
  </si>
  <si>
    <t>4_1</t>
  </si>
  <si>
    <t>4_1_1</t>
  </si>
  <si>
    <t>4_1_1_1</t>
  </si>
  <si>
    <t>Is a comprehensive and up-to-date register used as the basis for enterprise or establishment sample surveys?</t>
  </si>
  <si>
    <t>A comprehensive and up-to-date register provides the basis for sample surveys of enterprises/establishments.</t>
  </si>
  <si>
    <t>CVU</t>
  </si>
  <si>
    <t>Source data are adequate to ensure accuracy and reliability</t>
  </si>
  <si>
    <t>4_1_1_2</t>
  </si>
  <si>
    <t>Are factoryless goods producers identified in the business register?</t>
  </si>
  <si>
    <t>4_1_1_3</t>
  </si>
  <si>
    <t>Are special purpose entities identified in the business register?</t>
  </si>
  <si>
    <t>4_1_1_4</t>
  </si>
  <si>
    <t>Are affiliates of foreign multinational enterprises identified in the business register?</t>
  </si>
  <si>
    <t>4_1_1_5</t>
  </si>
  <si>
    <t>Are register maintenance procedures adequate (e.g., adding new units, deleting inactive units, tracking mergers and reorganizations)?</t>
  </si>
  <si>
    <t>Register maintenance procedures are adequate (including adding new units, deleting dead units and accounting for mergers and changeovers).</t>
  </si>
  <si>
    <t>BP</t>
  </si>
  <si>
    <t>4_1_1_6</t>
  </si>
  <si>
    <t>In the absence of a business register, is a comprehensive and up-to-date sampling frame (e.g., based on a census list with new registrations) available?</t>
  </si>
  <si>
    <t>In the absence of a business register, comprehensive and up-to-date sample frames are available (for example, census list updated with new registrations).</t>
  </si>
  <si>
    <t>CVUNR</t>
  </si>
  <si>
    <t>4_1_1_7</t>
  </si>
  <si>
    <t>If using ITRS, is the coverage of reporting banks in the ITRS integrated with the bank register maintained by the bank supervisory authorities?</t>
  </si>
  <si>
    <t>BPNR</t>
  </si>
  <si>
    <t>4_1_1_8</t>
  </si>
  <si>
    <t>If using ITRS, is sufficiently detailed information available for both transactions via banking accounts and transactions in cash?</t>
  </si>
  <si>
    <t>4_1_1_9</t>
  </si>
  <si>
    <t>If using ITRS, do reporting instructions request explanations about transactions that are above a given reporting threshold?</t>
  </si>
  <si>
    <t>4_1_1_10</t>
  </si>
  <si>
    <t>If using ITRS, do reporting instructions emphasize the need to minimize the number and value of unclassified transactions?</t>
  </si>
  <si>
    <t>4_1_1_11</t>
  </si>
  <si>
    <t>If using ITRS, do reporting instructions prohibit netting of BOP transactions?</t>
  </si>
  <si>
    <t>4_1_1_12</t>
  </si>
  <si>
    <t>If using ITRS, for transactions below the reporting threshold, is a sample survey conducted periodically to classify low-value transactions across the BOP components?</t>
  </si>
  <si>
    <t>4_1_1_13</t>
  </si>
  <si>
    <t>If using ITRS, is the reporting system structure for banks and enterprises consistent with their accounting practices?</t>
  </si>
  <si>
    <t>4_1_1_14</t>
  </si>
  <si>
    <t>If using ITRS, are the ITRS report forms easy to complete, suitable for computer processing, and pilot-tested?</t>
  </si>
  <si>
    <t>4_1_1_15</t>
  </si>
  <si>
    <t>Does the sample design ensure that the population in scope is adequately represented and efficiently stratified (e.g., by industry or geography)?</t>
  </si>
  <si>
    <t>Sample design ensures that the population in scope is represented properly. The population in scope is stratified using variables that increase the efficiency of principal estimates and allow subsidiary estimates to be compiled (e.g., by industry, by area).</t>
  </si>
  <si>
    <t>4_1_1_16</t>
  </si>
  <si>
    <t>Are sample selections and estimation methods regularly reviewed to ensure acceptable levels of sampling error?</t>
  </si>
  <si>
    <t>Sample selections are assessed regularly, especially in relation to maintaining acceptable levels of sample error. Estimation methods for probability-based sample surveys are routinely assessed.</t>
  </si>
  <si>
    <t>4_1_1_17</t>
  </si>
  <si>
    <t>Are population benchmarks and survey weights used in the estimation process reviewed and updated on a periodic basis?</t>
  </si>
  <si>
    <t>Population benchmarks and weights used in the estimation process are reviewed and updated periodically.</t>
  </si>
  <si>
    <t>4_1_1_18</t>
  </si>
  <si>
    <t>Are survey questionnaires constructed based on sound design principles, including pilot testing and periodic review?</t>
  </si>
  <si>
    <t>Survey questionnaires are constructed according to sound design principles (e.g., questionnaires are subject to field/pilot testing; observation studies are conducted during the design of survey questionnaires). They are reviewed periodically to take account of changed circumstances, and proposed changes are pretested to ensure effectiveness.</t>
  </si>
  <si>
    <t>4_1_1_19</t>
  </si>
  <si>
    <t>Are survey instruments designed to facilitate efficient data capture and processing while minimizing nonsampling errors?</t>
  </si>
  <si>
    <t>Survey instruments are designed for efficient data capturing/processing that minimizes nonsampling errors.</t>
  </si>
  <si>
    <t>4_1_1_20</t>
  </si>
  <si>
    <t>Are benchmark collections or other framework information gathered frequently enough to support an effective survey methodology?</t>
  </si>
  <si>
    <t>Benchmark collections are conducted, or other framework information is collected, with sufficient frequency, to ensure that the survey methodology is effective.</t>
  </si>
  <si>
    <t>4_1_1_21</t>
  </si>
  <si>
    <t>Does the survey framework support supplementary data collections that provide irregular but useful information for and balance of payments information?</t>
  </si>
  <si>
    <t>The survey framework supports supplementary collections to allow the irregular collection of information to support the main compilation.</t>
  </si>
  <si>
    <t>Source data are obtained from comprehensive data collection programs that take into account country-specific conditions.</t>
  </si>
  <si>
    <t>4_1_2</t>
  </si>
  <si>
    <t>4_1_2_1</t>
  </si>
  <si>
    <t>Are source data concepts consistent with balance of payments / IIP concepts?</t>
  </si>
  <si>
    <t>SDC</t>
  </si>
  <si>
    <t>4_1_2_2</t>
  </si>
  <si>
    <t>Is the geographic and institutional coverage of the source data consistent with the requirements of the balance of payments / IIP?</t>
  </si>
  <si>
    <t>4_1_2_3</t>
  </si>
  <si>
    <t>Can source data classifications be readily aligned to the balance of payments / IIP classifications?</t>
  </si>
  <si>
    <t>4_1_2_4</t>
  </si>
  <si>
    <t>Are source data consistent with the valuation principles of the balance of payments / IIP?</t>
  </si>
  <si>
    <t>4_1_2_5</t>
  </si>
  <si>
    <t>Are source data consistent with the recording principles of the balance of payments / IIP?</t>
  </si>
  <si>
    <t>4_1_2_6</t>
  </si>
  <si>
    <t>Are source data consistent with the reference period of the balance of payments / IIP?</t>
  </si>
  <si>
    <t>4_1_2_7</t>
  </si>
  <si>
    <t>Do administrative records used for compiling balance of payments / IIP provide reasonable approximations of methodological requirements?</t>
  </si>
  <si>
    <t>4_1_2_8</t>
  </si>
  <si>
    <t>Are source data collection and processing timetables adequate to meet the timeliness and periodicity standards of balance of payments / IIP dissemination?</t>
  </si>
  <si>
    <t>4_1_2_9</t>
  </si>
  <si>
    <t>Are respondents made aware of the deadlines set for reporting their data?</t>
  </si>
  <si>
    <t>4_1_2_10</t>
  </si>
  <si>
    <t>Does the data-producing agency use rigorous follow-up procedures to ensure the timely receipt of data?</t>
  </si>
  <si>
    <t>Household surveys and administrative data are available on a regular basis and the definitions, scope, sectorization, classifications, valuation, and time of recording required reasonably approximate the requirements of the balance of payments / IIP.</t>
  </si>
  <si>
    <t>4_1_3</t>
  </si>
  <si>
    <t>4_1_3_1</t>
  </si>
  <si>
    <t>At what frequency are household source data available?</t>
  </si>
  <si>
    <t>SDA</t>
  </si>
  <si>
    <t>4_1_3_2</t>
  </si>
  <si>
    <t>Are household surveys based on an up-to-date register or a current area sample frame?</t>
  </si>
  <si>
    <t>Household surveys are based on an up-to-date register, or an area sample frame that is current.</t>
  </si>
  <si>
    <t>4_1_3_3</t>
  </si>
  <si>
    <t>Does the household survey framework support supplementary collections for irregular but useful data to extend the main compilation?</t>
  </si>
  <si>
    <t>The survey framework supports supplementary collections to allow the irregular collection of information to extend the main compilation.</t>
  </si>
  <si>
    <t>4_1_3_4</t>
  </si>
  <si>
    <t>Is residential unit coverage comprehensive, with all residents included or justified exclusions that do not affect survey representativeness?</t>
  </si>
  <si>
    <t>Residential unit coverage is comprehensive. All residents are covered, or if not, exclusions are based on criteria that do not lessen the representativeness and usefulness of survey outcomes (e.g., the surveys is restricted to the civilian noninstitutionalized population).</t>
  </si>
  <si>
    <t>4_1_3_5</t>
  </si>
  <si>
    <t>Is geographic coverage of the household surveys comprehensive, with any exclusions clearly identified and justified to preserve representativeness?</t>
  </si>
  <si>
    <t>Geographic coverage is comprehensive. The entire country is covered, or if not, exclusions are clearly identified and do not lessen the representativeness and usefulness of survey outcomes.</t>
  </si>
  <si>
    <t>4_1_3_6</t>
  </si>
  <si>
    <t>Are household survey questionnaires constructed using sound design principles (e.g., pilot testing, observation studies), reviewed periodically, and pretested before implementation?</t>
  </si>
  <si>
    <t>4_1_3_7</t>
  </si>
  <si>
    <t>Are household survey instruments designed to ensure efficient data capture and processing while minimizing nonsampling errors?</t>
  </si>
  <si>
    <t>Government finance surveys and administrative data are available on a regular basis and the definitions, scope, sectorization, classifications, valuation, and time of recording required reasonably approximate the requirements of the balance of payments / IIP.</t>
  </si>
  <si>
    <t>4_1_4</t>
  </si>
  <si>
    <t>4_1_4_1</t>
  </si>
  <si>
    <t>At what frequency are central government finance statistics available?</t>
  </si>
  <si>
    <t>Comprehensive government finance statistics are available regularly</t>
  </si>
  <si>
    <t>4_1_4_2</t>
  </si>
  <si>
    <t>At which frequency are state government finance statistics available?</t>
  </si>
  <si>
    <t>4_1_4_3</t>
  </si>
  <si>
    <t>At which frequency are local government finance statistics available?</t>
  </si>
  <si>
    <t>4_1_4_4</t>
  </si>
  <si>
    <t>At which frequency are financial public corporations statistics available?</t>
  </si>
  <si>
    <t>4_1_4_5</t>
  </si>
  <si>
    <t>At which frequency are non-financial public corporations statistics available?</t>
  </si>
  <si>
    <t>4_1_4_6</t>
  </si>
  <si>
    <t>Are government finance source data concepts consistent with balance of payments / IIP concepts?</t>
  </si>
  <si>
    <t>4_1_4_7</t>
  </si>
  <si>
    <t>4_1_4_8</t>
  </si>
  <si>
    <t>Can government finance source data classifications be readily aligned to the balance of payments / IIP classifications?</t>
  </si>
  <si>
    <t>4_1_4_9</t>
  </si>
  <si>
    <t>Are government finance source data valuation principles consistent with the valuation principles of the balance of payments / IIP?</t>
  </si>
  <si>
    <t>4_1_4_10</t>
  </si>
  <si>
    <t>Are government finance source data recording principles consistent with the recording principles of the balance of payments / IIP?</t>
  </si>
  <si>
    <t>4_1_4_11</t>
  </si>
  <si>
    <t>Is the government finance source data reference period consistent with the reference period of the balance of payments / IIP?</t>
  </si>
  <si>
    <t>4_1_4_12</t>
  </si>
  <si>
    <t>Are government finance source data collection and processing timetables adequate to meet the timeliness and periodicity standards of balance of payments / IIP dissemination?</t>
  </si>
  <si>
    <t>4_1_4_13</t>
  </si>
  <si>
    <t>Are government finance respondents made aware of the deadlines set for reporting their data?</t>
  </si>
  <si>
    <t>4_1_4_14</t>
  </si>
  <si>
    <t>Does the data-producing agency use rigorous follow-up procedures to ensure the timely receipt of government finance data?</t>
  </si>
  <si>
    <t>Non-financial corporations surveys and administrative data are available on a regular basis and the definitions, scope, sectorization, classifications, valuation, and time of recording required reasonably approximate the requirements of the balance of payments / IIP.</t>
  </si>
  <si>
    <t>4_1_5</t>
  </si>
  <si>
    <t>4_1_5_1</t>
  </si>
  <si>
    <t>At what  frequency are nonfinancial corporation source data available?</t>
  </si>
  <si>
    <t>The data in particular is available for non-banking financial companies and non-financial public and private corporate sectors</t>
  </si>
  <si>
    <t>4_1_5_2</t>
  </si>
  <si>
    <t>Are detailed data available to measure cross-border transactions, other economic flows and stocks of financial assets/liabilities for the non-financial corporations sector?</t>
  </si>
  <si>
    <t>Detailed data for are available to measure output, intermediate consumption, operating surplus, fixed capital formation and financial assets / liabilities.</t>
  </si>
  <si>
    <t>4_1_5_3</t>
  </si>
  <si>
    <t>Are non-financial corporations source data concepts consistent with balance of payments / IIP concepts?</t>
  </si>
  <si>
    <t>4_1_5_4</t>
  </si>
  <si>
    <t>Is the geographic and institutional coverage of the non-financial corporations source data consistent with the requirements of the balance of payments / IIP?</t>
  </si>
  <si>
    <t>4_1_5_5</t>
  </si>
  <si>
    <t>Can non-financial corporation source data classifications be readily aligned to the balance of payments / IIP classifications?</t>
  </si>
  <si>
    <t>4_1_5_6</t>
  </si>
  <si>
    <t>Are non-financial corporations source data valuation principles consistent with the valuation principles of the balance of payments / IIP?</t>
  </si>
  <si>
    <t>4_1_5_7</t>
  </si>
  <si>
    <t>Are non-financial corporations source data recording principles consistent with the recording principles of the balance of payments / IIP?</t>
  </si>
  <si>
    <t>4_1_5_8</t>
  </si>
  <si>
    <t>Is the non-financial corporations source data reference period consistent with the reference period of the balance of payments / IIP?</t>
  </si>
  <si>
    <t>4_1_5_9</t>
  </si>
  <si>
    <t>Are non-financial corporations source data collection and processing timetables adequate to meet the timeliness and periodicity standards of balance of payments / IIP dissemination?</t>
  </si>
  <si>
    <t>4_1_5_10</t>
  </si>
  <si>
    <t>Are non-financial corporations respondents made aware of the deadlines set for reporting their data?</t>
  </si>
  <si>
    <t>4_1_5_11</t>
  </si>
  <si>
    <t>Does the data-producing agency use rigorous follow-up procedures to ensure the timely receipt of non-financial corporations data?</t>
  </si>
  <si>
    <t>Financial corporations surveys and administrative data are available on a regular basis and the definitions, scope, sectorization, classifications, valuation, and time of recording required reasonably approximate the requirements of the balance of payments / IIP.</t>
  </si>
  <si>
    <t>4_1_6</t>
  </si>
  <si>
    <t>4_1_6_1</t>
  </si>
  <si>
    <t>At what  frequency are financial corporation source data available?</t>
  </si>
  <si>
    <t>4_1_6_2</t>
  </si>
  <si>
    <t>Are financial corporation source data available to measure cross-border transactions, other economic flows and stocks of financial assets/liabilities for the financial corporations sector?</t>
  </si>
  <si>
    <t>4_1_6_3</t>
  </si>
  <si>
    <t>Are financial corporations source data concepts consistent with balance of payments / IIP concepts?</t>
  </si>
  <si>
    <t>4_1_6_4</t>
  </si>
  <si>
    <t>Is the geographic and institutional coverage of the financial corporations source data consistent with the requirements of the balance of payments / IIP?</t>
  </si>
  <si>
    <t>4_1_6_5</t>
  </si>
  <si>
    <t>Can financial corporations source data classifications be readily aligned to the balance of payments / IIP classifications?</t>
  </si>
  <si>
    <t>4_1_6_6</t>
  </si>
  <si>
    <t>Are financial corporations source data valuation principles consistent with the valuation principles of the balance of payments / IIP?</t>
  </si>
  <si>
    <t>4_1_6_7</t>
  </si>
  <si>
    <t>Are financial corporations source data recording principles consistent with the recording principles of the balance of payments / IIP?</t>
  </si>
  <si>
    <t>4_1_6_8</t>
  </si>
  <si>
    <t>Is the reference period of financial corporations source data consistent with the reference period of the balance of payments / IIP?</t>
  </si>
  <si>
    <t>4_1_6_9</t>
  </si>
  <si>
    <t>Are financial corporations source data collection and processing timetables adequate to meet the timeliness and periodicity standards of balance of payments / IIP dissemination?</t>
  </si>
  <si>
    <t>4_1_6_10</t>
  </si>
  <si>
    <t>Are financial corporations respondents made aware of the deadlines set for reporting their data?</t>
  </si>
  <si>
    <t>4_1_6_11</t>
  </si>
  <si>
    <t>Does the data-producing agency use rigorous follow-up procedures to ensure the timely receipt of financial corporations data?</t>
  </si>
  <si>
    <t>Monthly/quarterly data are adequate for compiling monthly or quarterly BOP/IIP</t>
  </si>
  <si>
    <t>4_1_7</t>
  </si>
  <si>
    <t>4_1_7_1</t>
  </si>
  <si>
    <t>Do monthly or quarterly data on the activities of establishments/enterprises conducted provide an adequate basis for compiling monthly or quarterly balance of payments / IIP?</t>
  </si>
  <si>
    <t>Subannual surveys of establishments/enterprises are conducted to obtain detailed quarterly/monthly indicators, consistent with annual data, for most important industrial groups (e.g., at the ISIC one-digit level).</t>
  </si>
  <si>
    <t>SASDA</t>
  </si>
  <si>
    <t>4_1_7_2</t>
  </si>
  <si>
    <t>Do monthly or quarterly household data provide an adequate basis for monthly or quarterly balance of payments / IIP?</t>
  </si>
  <si>
    <t>4_1_7_3</t>
  </si>
  <si>
    <t>Do monthly or quarterly data on financial corporations provide an adequate basis for compiling monthly or quarterly balance of payments / IIP?</t>
  </si>
  <si>
    <t>4_1_7_4</t>
  </si>
  <si>
    <t>Do monthly or quarterly data on non-financial corporations provide an adequate basis for compiling quarterly balance of payments / IIP?</t>
  </si>
  <si>
    <t>4_1_7_5</t>
  </si>
  <si>
    <t>Do monthly or quarterly data on the general government sector provide an adequate basis for compiling monthly or quarterly balance of payments / IIP?</t>
  </si>
  <si>
    <t>The data collection programs are sufficiently open and allow for versatility to new developments in sources.</t>
  </si>
  <si>
    <t>4_1_8</t>
  </si>
  <si>
    <t>4_1_8_1</t>
  </si>
  <si>
    <t>Are periodic meetings held with the business community to solicit cooperation in enterprise data collection and identify new developments for the balance of payments / IIP?</t>
  </si>
  <si>
    <t>Periodic meetings are held with the business community  for soliciting their cooperation in collection of data (through enterprise surveys, surveys of corporate sector, etc.) and to identify new developments that need to be taken into account in the national accounts compilation system.</t>
  </si>
  <si>
    <t>4_1_8_2</t>
  </si>
  <si>
    <t>Are the press and research papers monitored to identify activities relevant for balance of payments / IIP compilation?</t>
  </si>
  <si>
    <t>The press and research papers are monitored for information on activities that need to be taken into account in the balance of payments / IIP compilation system.</t>
  </si>
  <si>
    <t>4_1_8_3</t>
  </si>
  <si>
    <t>Are international standards, guidelines, and practices regularly monitored for changes that need to be reflected in balance of payments / IIP compilation?</t>
  </si>
  <si>
    <t>International standards, guidelines, and practices are monitored for changes that need to be taken into account in the balance of payments / IIP compilation system.</t>
  </si>
  <si>
    <t>4_1_8_4</t>
  </si>
  <si>
    <t>Does the compiling agency consult with source agencies to identify changes in administrative processes that may affect statistics?</t>
  </si>
  <si>
    <t>The compiling agency consults with the supplying agencies to ascertain changes in administrative processes that may affect the statistics.</t>
  </si>
  <si>
    <t>4_1_8_5</t>
  </si>
  <si>
    <t>Are the data sources kept under continuous review to ensure that the data collection program remains comprehensive?</t>
  </si>
  <si>
    <t>The data sources are kept under continuous review to ensure that the data collection program is comprehensive.</t>
  </si>
  <si>
    <t>4_1_8_6</t>
  </si>
  <si>
    <t>Are ad-hoc surveys conducted when necessary to supplement regular surveys for balance of payments / IIP compilation?</t>
  </si>
  <si>
    <t>Ad-hoc surveys are conducted, when necessary, to supplement regular surveys.</t>
  </si>
  <si>
    <t>Source data are routinely assessed and the results of the assessments are monitored and guide statistical processes.</t>
  </si>
  <si>
    <t>4_2</t>
  </si>
  <si>
    <t>4_2_1</t>
  </si>
  <si>
    <t>4_2_1_1</t>
  </si>
  <si>
    <t>Is information about sampling errors for each of the surveys conducted monitored on a regular basis?</t>
  </si>
  <si>
    <t>Accuracy of source data is regularly assessed</t>
  </si>
  <si>
    <t>4_2_1_2</t>
  </si>
  <si>
    <t>Is information about nonsampling errors (e.g., survey operations, biases, over/under-coverage, misclassification, mismeasurement, processing errors, and nonresponse) monitored?</t>
  </si>
  <si>
    <t>4_2_1_3</t>
  </si>
  <si>
    <t>Are the effects of changes to questionnaires on survey estimates assessed?</t>
  </si>
  <si>
    <t>4_2_1_4</t>
  </si>
  <si>
    <t>Are source data analyzed in the context of revisions, and are all material changes from available up-to-date data incorporated into the BOP and IIP statement according to a revision cycle?</t>
  </si>
  <si>
    <t>4_2_1_5</t>
  </si>
  <si>
    <t>Do procedures identify outliers and other atypical differences in periodic responses by individual survey units, and are extreme values confirmed with respondents and records maintained?</t>
  </si>
  <si>
    <t>4_2_1_6</t>
  </si>
  <si>
    <t>Are the source data analyzed for underreporting/misreporting, particularly to check for temporal consistency and consistency with related data sources?</t>
  </si>
  <si>
    <t>4_2_1_7</t>
  </si>
  <si>
    <t>Is information about nonsampling errors (under-coverage, misclassification, processing errors, and nonresponse) monitored?</t>
  </si>
  <si>
    <t>4_2_1_8</t>
  </si>
  <si>
    <t>If using ITRS, is the completeness of closed-type ITRS reporting by banks assessed?</t>
  </si>
  <si>
    <t>4_2_1_9</t>
  </si>
  <si>
    <t>If using ITRS, is the equality between debit and credit entries for non-BOP transactions monitored?</t>
  </si>
  <si>
    <t>4_2_1_10</t>
  </si>
  <si>
    <t>If using ITRS, are the ITRS transactions that are not of a BOP nature carefully analyzed to ensure they cancel out or are excluded?</t>
  </si>
  <si>
    <t>4_2_1_11</t>
  </si>
  <si>
    <t>Are high-value transactions confirmed with respondents?</t>
  </si>
  <si>
    <t>4_2_1_12</t>
  </si>
  <si>
    <t>Is the accuracy of public sector external debt data, international trade, and other sources used to compile BOP and IIP statistics routinely assessed?</t>
  </si>
  <si>
    <t>Data compilation employs sound statistical techniques to process source data.</t>
  </si>
  <si>
    <t>4_3</t>
  </si>
  <si>
    <t>4_3_1</t>
  </si>
  <si>
    <t>4_3_1_1</t>
  </si>
  <si>
    <t>Do compilation procedures minimize processing errors such as coding, editing, and tabulation errors?</t>
  </si>
  <si>
    <t>Rigorous statistical techniques are used for modeling, estimation, imputation, editing and valuation.</t>
  </si>
  <si>
    <t>4_3_1_2</t>
  </si>
  <si>
    <t>Are adjustments to unit records made only when clearly warranted and can be identified in datasets?</t>
  </si>
  <si>
    <t>4_3_1_3</t>
  </si>
  <si>
    <t>Are procedures for imputation and adjustment for nonresponse soundly based?</t>
  </si>
  <si>
    <t>4_3_1_4</t>
  </si>
  <si>
    <t>Is appropriate use made of ancillary and benchmark information in compiling estimates?</t>
  </si>
  <si>
    <t>4_3_1_5</t>
  </si>
  <si>
    <t>Are appropriate measures undertaken when the nonsampling errors become large?</t>
  </si>
  <si>
    <t>4_3_1_6</t>
  </si>
  <si>
    <t>Are sound estimation techniques employed to adjust data for missing observations in statistical collections?</t>
  </si>
  <si>
    <t>4_3_1_7</t>
  </si>
  <si>
    <t>Do adjustments for undercoverage and/or out-of-scope population units follow appropriate guidelines, with scientifically derived grossing-up factors?</t>
  </si>
  <si>
    <t>4_3_1_8</t>
  </si>
  <si>
    <t>If using ITRS, is the attribution of uncoded ITRS data to BOP components made using sound statistical techniques?</t>
  </si>
  <si>
    <t>4_3_1_9</t>
  </si>
  <si>
    <t>If using ITRS, are appropriate measures undertaken when uncoded ITRS transactions below the threshold become too large or show debit/credit inequality?</t>
  </si>
  <si>
    <t>4_3_1_10</t>
  </si>
  <si>
    <t>Are discrepancies between quarterly and annual data removed through benchmark procedures or indicators?</t>
  </si>
  <si>
    <t>4_3_1_11</t>
  </si>
  <si>
    <t>Is the c.i.f./f.o.b. factor for valuing imports estimated based on a sample survey of transportation enterprises?</t>
  </si>
  <si>
    <t>4_3_1_12</t>
  </si>
  <si>
    <t>Are adjustments using information from government departments made to record income and service payments, inclusive of withholding taxes deducted at source?</t>
  </si>
  <si>
    <t>4_3_1_13</t>
  </si>
  <si>
    <t>Are estimates and travel data models used to augment or verify data from ITRS, traveler surveys, and credit card data?</t>
  </si>
  <si>
    <t>4_3_1_14</t>
  </si>
  <si>
    <t>If using ITRS, are surveys of travelers and tourist providers used to augment or verify ITRS data?</t>
  </si>
  <si>
    <t>4_3_1_15</t>
  </si>
  <si>
    <t>If using ITRS, are data on net transactions in telecommunications services reported in the ITRS adjusted to a gross basis using information collected from a sample of telecommunications firms?</t>
  </si>
  <si>
    <t>4_3_1_16</t>
  </si>
  <si>
    <t>Are securities transactions in secondary markets adjusted based on information on average commission rates?</t>
  </si>
  <si>
    <t>4_3_1_17</t>
  </si>
  <si>
    <t>Are shuttle trade estimates based on periodic surveys and extrapolated from customs and immigration data?</t>
  </si>
  <si>
    <t>4_3_1_18</t>
  </si>
  <si>
    <t>Are trade data adjusted using partner-country import data to correct for export underestimation?</t>
  </si>
  <si>
    <t>Intermediate and Final Output are validated against other information where applicable.</t>
  </si>
  <si>
    <t>4_4</t>
  </si>
  <si>
    <t>4_4_1</t>
  </si>
  <si>
    <t>4_4_1_1</t>
  </si>
  <si>
    <t>Are data from government departments on withholding taxes used to assess income transaction accuracy?</t>
  </si>
  <si>
    <t>Rigorous quality assurance practices are employed</t>
  </si>
  <si>
    <t>4_4_1_2</t>
  </si>
  <si>
    <t>Is financial press information used to verify high-value direct investment and other transactions?</t>
  </si>
  <si>
    <t>4_4_1_3</t>
  </si>
  <si>
    <t>Are data on investment income credits and debits regularly assessed in relation to the corresponding IIP data?</t>
  </si>
  <si>
    <t>4_4_1_4</t>
  </si>
  <si>
    <t>Are data on freight earnings regularly assessed in relation to the value/volume of the trade flows?</t>
  </si>
  <si>
    <t>4_4_1_5</t>
  </si>
  <si>
    <t>Are travel-related transactions analyzed in relation to customs and immigration traveler data?</t>
  </si>
  <si>
    <t>4_4_1_6</t>
  </si>
  <si>
    <t>Are financial flow data reconciled with stock data for external debt and all elements of the integrated IIP?</t>
  </si>
  <si>
    <t>4_4_1_7</t>
  </si>
  <si>
    <t>If using ITRS, are discrepancies between merchandise trade and associated financial flows from the ITRS reviewed?</t>
  </si>
  <si>
    <t>4_4_1_8</t>
  </si>
  <si>
    <t>Are balance of payments / IIP aggregates reconciled with national accounts aggregates?</t>
  </si>
  <si>
    <t>4_4_1_9</t>
  </si>
  <si>
    <t>Are balance of payments / IIP aggregates reconciled with government finance statistics aggregates?</t>
  </si>
  <si>
    <t>4_4_1_10</t>
  </si>
  <si>
    <t>Are balance of payments / IIP aggregates reconciled with monetary and financial statistics aggregates?</t>
  </si>
  <si>
    <t>Statistical discrepancies and other potential indicators of problems in statistical outputs are investigated.</t>
  </si>
  <si>
    <t>4_4_2</t>
  </si>
  <si>
    <t>4_4_2_1</t>
  </si>
  <si>
    <t>4_4_2_2</t>
  </si>
  <si>
    <t>Do staff involved in producing BOP data monitor developments in the net errors and omissions (or statistical discrepancy) item and seek to understand them by e.g., cross-checking entries in the current, capital and financial accounts?</t>
  </si>
  <si>
    <t>4_4_2_3</t>
  </si>
  <si>
    <t>Are bilateral data reconciliations conducted for selected trade and financial items with trading partners, and large differences investigated?</t>
  </si>
  <si>
    <t>4_4_2_4</t>
  </si>
  <si>
    <t>Are the differences in concepts and compilation methods identified and taken into account in the data comparisons?</t>
  </si>
  <si>
    <t>4_4_2_5</t>
  </si>
  <si>
    <t>Are external debt transactions and positions compared with BIS-IMF-OECD-WB or BIS locational banking statistics?</t>
  </si>
  <si>
    <t>Studies and analyses of revisions and/or updates are carried out and used internally to inform statistical processes.</t>
  </si>
  <si>
    <t>4_5</t>
  </si>
  <si>
    <t>4_5_1</t>
  </si>
  <si>
    <t>4_5_1_1</t>
  </si>
  <si>
    <t>Are studies conducted to assess initial estimates against final estimates, including scale (frequency of revision and number of time series revised), direction, and magnitude of revisions?</t>
  </si>
  <si>
    <t>Revisions analysis and reliability monitoring is conducted.</t>
  </si>
  <si>
    <t>4_5_1_2</t>
  </si>
  <si>
    <t>Are long-term trends in revision patterns studied to identify systematically biased series?</t>
  </si>
  <si>
    <t>4_5_1_3</t>
  </si>
  <si>
    <t>Are sources of errors, omissions, and fluctuations in the data investigated?</t>
  </si>
  <si>
    <t>4_5_1_4</t>
  </si>
  <si>
    <t>Are findings from revision studies used to define the optimal revision cycle?</t>
  </si>
  <si>
    <t>4_5_1_5</t>
  </si>
  <si>
    <t>Are findings from revision studies used to refine preliminary data and inform future data collection?</t>
  </si>
  <si>
    <t>4_5_1_6</t>
  </si>
  <si>
    <t>Are time-series of revisions examined to identify long-term trends and make appropriate adjustments to initial estimates?</t>
  </si>
  <si>
    <t>4_5_1_7</t>
  </si>
  <si>
    <t>Is adequate documentation on revisions maintained, including causes, data sources, and adjustment methods?</t>
  </si>
  <si>
    <t>Statistics are internally consistent</t>
  </si>
  <si>
    <t>4_6</t>
  </si>
  <si>
    <t>4_6_1</t>
  </si>
  <si>
    <t>4_6_1_1</t>
  </si>
  <si>
    <t>Are statistics for this program internally consistent (e.g. small, unbiased statistical discrepancies, regional estimates reconciled with national estimates)?</t>
  </si>
  <si>
    <t>IMF DQAF 4.2: Statistics are consistent within the dataset</t>
  </si>
  <si>
    <t>Data consistency is systematically assessed and maintained</t>
  </si>
  <si>
    <t>4_6_1_2</t>
  </si>
  <si>
    <t>Are quarterly concepts and classifications the same as annual concepts and classifications?</t>
  </si>
  <si>
    <t>4_6_1_3</t>
  </si>
  <si>
    <t>Does the sum of quarterly flows reasonably approximate the annual statistics?</t>
  </si>
  <si>
    <t>YMN</t>
  </si>
  <si>
    <t>4_6_1_4</t>
  </si>
  <si>
    <t>Over long time-periods, have the statistical discrepancies been relatively low?</t>
  </si>
  <si>
    <t>4_6_1_5</t>
  </si>
  <si>
    <t>Are flow data (transactions and other economic flows) of financial assets and liabilities reconcilable with changes in the stocks of these financial assets and liabilities, and is a table explaining the reconciliation (e.g., transactions, holding gains/losses and other volume changes) disseminated on a regular basis?</t>
  </si>
  <si>
    <t>Statistics are consistent over a reasonable period of time.</t>
  </si>
  <si>
    <t>4_6_2</t>
  </si>
  <si>
    <t>4_6_2_1</t>
  </si>
  <si>
    <t>Are time series consistent and available for at least 10 years?</t>
  </si>
  <si>
    <t>IMF DQAF 4.2.2: Statistics are consistent or reconcilable over a reasonable period of time.</t>
  </si>
  <si>
    <t>4_6_2_2</t>
  </si>
  <si>
    <t>When changes in source data, methodology, and statistical techniques are introduced, are historical series reconstructed as far back as reasonably possible?</t>
  </si>
  <si>
    <t>4_6_2_3</t>
  </si>
  <si>
    <t>When there are unusual changes in economic indicators or breaks and discontinuities in the component time series, are they explained in analytical text or metadata so users understand their causes, and adjustments made to maintain consistency over time?</t>
  </si>
  <si>
    <t>Statistics are consistent or reconcilable with those obtained from other comparable frameworks</t>
  </si>
  <si>
    <t>4_6_3</t>
  </si>
  <si>
    <t>4_6_3_1</t>
  </si>
  <si>
    <t>Are the statistics compiled under this program largely consistent or reconcilable with comparable statistics compiled in the national accounts?</t>
  </si>
  <si>
    <t>IMF DQAF 4.2.3: Statistics are consistent or reconcilable with those obtained through other data
sources and/or statistical frameworks..</t>
  </si>
  <si>
    <t>4_6_3_2</t>
  </si>
  <si>
    <t>Does this program exchange data with the national accounts statistics program prior to release to develop the estimates and/or ensure consistency?</t>
  </si>
  <si>
    <t>4_6_3_3</t>
  </si>
  <si>
    <t>Are the statistics compiled under this program largely consistent or reconcilable with comparable statistics compiled in the government finance statistics?</t>
  </si>
  <si>
    <t>CSTCY</t>
  </si>
  <si>
    <t>4_6_3_4</t>
  </si>
  <si>
    <t>Does this program exchange data with the government finance statistics program prior to release to develop the estimates and/or ensure consistency?</t>
  </si>
  <si>
    <t>4_6_3_5</t>
  </si>
  <si>
    <t>Are the statistics compiled under this program largely consistent or reconcilable with comparable statistics compiled in the monetary and financial statistics?</t>
  </si>
  <si>
    <t>4_6_3_6</t>
  </si>
  <si>
    <t>Does this program exchange data with the monetary and financial statistics program prior to release to develop the estimates and/or ensure consistency?</t>
  </si>
  <si>
    <t>4_6_3_7</t>
  </si>
  <si>
    <t>Does this program share its data with other macroeconomic statistics programs and permit them to use the data as a direct input into their production processes?</t>
  </si>
  <si>
    <t>IMF DQAF 5.2: Cross‐domain consistency fosters coherent macroeconomic analysis (e.g., SNA ↔ BPM6, SNA ↔ GFS).</t>
  </si>
  <si>
    <t>Fully - Over 95% of the recommended (activity; transactions; stocks/flows; territory; population; units) is covered / estimated</t>
  </si>
  <si>
    <t>Fully - This recommendation / best practice is fully implemented</t>
  </si>
  <si>
    <t>Fully - Source data coverage; classifications; concepts; accounting rules; statistical methods are fully consistent with what is recommended by the statistical standards</t>
  </si>
  <si>
    <t>Fully - Data are available on a daily basis</t>
  </si>
  <si>
    <t>Fully - Sub-annual source data are available for every period and fully cover the target population</t>
  </si>
  <si>
    <t>Fully - Estimates are within +/- 1% of each other</t>
  </si>
  <si>
    <t>Highly - Between 90% and 94% of the recommended (activity; transactions; stocks/flows; territory; population; units) is covered / estimated</t>
  </si>
  <si>
    <t>Highly - This recommendation / best practice is implemented but minor gaps exist in coverage and/or the consistency of its application across the program / organization</t>
  </si>
  <si>
    <t>Highly - Source data coverage and concepts are consistent with what is recommended by the statistical standard but adjustments to classifications are required</t>
  </si>
  <si>
    <t>Fully - Data are available on a monthly basis</t>
  </si>
  <si>
    <t>Highly - Sub-annual source data are available for every period and cover between 90% and 95% of the target population</t>
  </si>
  <si>
    <t>Highly - Estimates are within 2% and 5% of each other</t>
  </si>
  <si>
    <t>Broadly - Between 80% and 89% of the recommended (activity; transactions; stocks/flows; territory; population; units) is covered / estimated</t>
  </si>
  <si>
    <t>Broadly - This best practice is implemented but some gaps exist in the coverage and consistency of its application across the program / organization</t>
  </si>
  <si>
    <t>Broadly - Source data coverage is consistent with what is recommended by the statistical standard but adjustments to classifications and concepts are required</t>
  </si>
  <si>
    <t>Fully - Data are available on quarterly basis</t>
  </si>
  <si>
    <t>Broadly - Sub-annual source data are available for every period and cover between 80% and 89% of the target population</t>
  </si>
  <si>
    <t>Broadly - Estimates are within 6% and 10% of each other</t>
  </si>
  <si>
    <t>Partially - Between 50% and 79% of the recommended (activity; transactions; stocks/flows; territory; population; units) is covered / estimated</t>
  </si>
  <si>
    <t>Partially - This best practice is implemented but significant gaps exist in both the coverage and consistency of its application across the program / organization</t>
  </si>
  <si>
    <t>Partially - Significant adjustments to source data coverage; classifications; concepts are required to align with what is recommended by the statistical standard</t>
  </si>
  <si>
    <t>Highly - Data are available on an annual basis</t>
  </si>
  <si>
    <t>Partially - Sub-annual source data are available for every period and cover between 50% and 79% of the population</t>
  </si>
  <si>
    <t>Partially - Estimates are within 11% and 20% of each other</t>
  </si>
  <si>
    <t>Not aligned - Less then 50% of the recommended (activity; transactions; stocks/flows; territory; population; units) is covered / estimated</t>
  </si>
  <si>
    <t>Not aligned - This best practice is not implemented</t>
  </si>
  <si>
    <t>Not aligned - Source data is not available and models are used</t>
  </si>
  <si>
    <t>Broadly - Data are available on an annual basis at least every three years</t>
  </si>
  <si>
    <t>Not aligned - Sub-annual source data are not avaliable for every period and/or cover less than 50% of the target population.</t>
  </si>
  <si>
    <t>Not aligned - Estimates are greater than 20% of each other</t>
  </si>
  <si>
    <t>Not relevant - this concept; accounting rule; valuation method; principle of recording is not relevant to our economy</t>
  </si>
  <si>
    <t>Not relevant - this best practice is not relevant to our statistical program</t>
  </si>
  <si>
    <t>Partially - Data are available on an annual basis at least every five years</t>
  </si>
  <si>
    <t>Not Aligned – Data are available less frequently than every five years or only on an ad hoc basis.</t>
  </si>
  <si>
    <t>KEY</t>
  </si>
  <si>
    <t>ANSWER_VALUE</t>
  </si>
  <si>
    <t>ANSWER_DISPLAY</t>
  </si>
  <si>
    <t>KEYDISPLAY</t>
  </si>
  <si>
    <t>5</t>
  </si>
  <si>
    <t>BP|Fully - This recommendation / best practice is fully implemented</t>
  </si>
  <si>
    <t>BP|Highly - This recommendation / best practice is implemented but minor gaps exist in coverage and/or the consistency of its application across the program / organization</t>
  </si>
  <si>
    <t>3</t>
  </si>
  <si>
    <t>BP|Broadly - This best practice is implemented but some gaps exist in the coverage and consistency of its application across the program / organization</t>
  </si>
  <si>
    <t>2</t>
  </si>
  <si>
    <t>BP|Partially - This best practice is implemented but significant gaps exist in both the coverage and consistency of its application across the program / organization</t>
  </si>
  <si>
    <t>0</t>
  </si>
  <si>
    <t>BP|Not aligned - This best practice is not implemented</t>
  </si>
  <si>
    <t>BPNR|Fully - This recommendation / best practice is fully implemented</t>
  </si>
  <si>
    <t>BPNR|Highly - This recommendation / best practice is implemented but minor gaps exist in coverage and/or the consistency of its application across the program / organization</t>
  </si>
  <si>
    <t>BPNR|Broadly - This best practice is implemented but some gaps exist in the coverage and consistency of its application across the program / organization</t>
  </si>
  <si>
    <t>BPNR|Partially - This best practice is implemented but significant gaps exist in both the coverage and consistency of its application across the program / organization</t>
  </si>
  <si>
    <t>BPNR|Not aligned - This best practice is not implemented</t>
  </si>
  <si>
    <t>BPNR|Not relevant - this best practice is not relevant to our statistical program</t>
  </si>
  <si>
    <t>CAL</t>
  </si>
  <si>
    <t>Fully - This concept, accounting rule, valuation method, principle of recording is fully implemented</t>
  </si>
  <si>
    <t>Fully - This concept; accounting rule; valuation method; principle of recording is fully implemented</t>
  </si>
  <si>
    <t>CAL|Fully - This concept; accounting rule; valuation method; principle of recording is fully implemented</t>
  </si>
  <si>
    <t>Highly - This concept, accounting rule, valuation method, principle of recording is fully implemented but minor gaps in coverage and/or consistency of application</t>
  </si>
  <si>
    <t>Highly - This concept; accounting rule; valuation method; principle of recording is fully implemented but minor gaps in coverage and/or consistency of application</t>
  </si>
  <si>
    <t>CAL|Highly - This concept; accounting rule; valuation method; principle of recording is fully implemented but minor gaps in coverage and/or consistency of application</t>
  </si>
  <si>
    <t>Broadly - This concept, accounting rule, valuation method, principle of recording is consistently implemented but there are some gaps in coverage and consistency of application</t>
  </si>
  <si>
    <t>Broadly - This concept; accounting rule; valuation method; principle of recording is consistently implemented but there are some gaps in coverage and consistency of application</t>
  </si>
  <si>
    <t>CAL|Broadly - This concept; accounting rule; valuation method; principle of recording is consistently implemented but there are some gaps in coverage and consistency of application</t>
  </si>
  <si>
    <t>Partially - This concept, accounting rule, valuation method, principle of recording is implemented but there are significant gaps in both coverage and consistency of application</t>
  </si>
  <si>
    <t>Partially - This concept; accounting rule; valuation method; principle of recording is implemented but there are significant gaps in both coverage and consistency of application</t>
  </si>
  <si>
    <t>CAL|Partially - This concept; accounting rule; valuation method; principle of recording is implemented but there are significant gaps in both coverage and consistency of application</t>
  </si>
  <si>
    <t>Not aligned - This concept, accounting rule, valuation method, principle of recording is not implemented</t>
  </si>
  <si>
    <t>Not aligned - This concept; accounting rule; valuation method; principle of recording is not implemented</t>
  </si>
  <si>
    <t>CAL|Not aligned - This concept; accounting rule; valuation method; principle of recording is not implemented</t>
  </si>
  <si>
    <t>Not relevant - this concept, accounting rule, valuation method, principle of recording is not relevant to our economy</t>
  </si>
  <si>
    <t>CAL|Not relevant - this concept; accounting rule; valuation method; principle of recording is not relevant to our economy</t>
  </si>
  <si>
    <t>CLS_GRP</t>
  </si>
  <si>
    <t>Over 100 classes</t>
  </si>
  <si>
    <t>CLS_GRP|Over 100 classes</t>
  </si>
  <si>
    <t>Between 50 and 99 classes</t>
  </si>
  <si>
    <t>CLS_GRP|Between 50 and 99 classes</t>
  </si>
  <si>
    <t>Between 25 and 49 classes</t>
  </si>
  <si>
    <t>CLS_GRP|Between 25 and 49 classes</t>
  </si>
  <si>
    <t>Between 10 and 24 classes</t>
  </si>
  <si>
    <t>CLS_GRP|Between 10 and 24 classes</t>
  </si>
  <si>
    <t>Under 10 classes</t>
  </si>
  <si>
    <t>1</t>
  </si>
  <si>
    <t>CLS_GRP|Under 10 classes</t>
  </si>
  <si>
    <t>CLVL</t>
  </si>
  <si>
    <t>Fully - Estimates are produced for the lowest level of the classification system (e.g. ISIC 4 digit, COICOP 5-digit or equivalent)</t>
  </si>
  <si>
    <t>Fully - Estimates are produced for the lowest level of the classification system (e.g. ISIC 4 digit; COICOP 5-digit or equivalent)</t>
  </si>
  <si>
    <t>CLVL|Fully - Estimates are produced for the lowest level of the classification system (e.g. ISIC 4 digit; COICOP 5-digit or equivalent)</t>
  </si>
  <si>
    <t>Highly - Estimates are produced up to the third level of detail in the classification system (e.g. ISIC 3 digit, COICOP 4-digit or equivalent)</t>
  </si>
  <si>
    <t>Highly - Estimates are produced up to the third level of detail in the classification system (e.g. ISIC 3 digit; COICOP 4-digit or equivalent)</t>
  </si>
  <si>
    <t>CLVL|Highly - Estimates are produced up to the third level of detail in the classification system (e.g. ISIC 3 digit; COICOP 4-digit or equivalent)</t>
  </si>
  <si>
    <t>Broadly - Estimates are produced up to the second level of detail of the classification system (e.g. ISIC 2 digit, COICOP 3-digit or equivalent)</t>
  </si>
  <si>
    <t>Broadly - Estimates are produced up to the second level of detail of the classification system (e.g. ISIC 2 digit; COICOP 3-digit or equivalent)</t>
  </si>
  <si>
    <t>CLVL|Broadly - Estimates are produced up to the second level of detail of the classification system (e.g. ISIC 2 digit; COICOP 3-digit or equivalent)</t>
  </si>
  <si>
    <t>Partially - Estimates are only produced for the highest level of detail of the classification system (e.g. ISIC 1 digit, COICOP 2-digit or equivalent)</t>
  </si>
  <si>
    <t>Partially - Estimates are only produced for the highest level of detail of the classification system (e.g. ISIC 1 digit; COICOP 2-digit or equivalent)</t>
  </si>
  <si>
    <t>CLVL|Partially - Estimates are only produced for the highest level of detail of the classification system (e.g. ISIC 1 digit; COICOP 2-digit or equivalent)</t>
  </si>
  <si>
    <t>Not aligned - An internationally recognized classification system or national variant is not used to classify transactions, stocks or other flows</t>
  </si>
  <si>
    <t>Not aligned - An internationally recognized classification system or national variant is not used to classify transactions; stocks or other flows</t>
  </si>
  <si>
    <t>CLVL|Not aligned - An internationally recognized classification system or national variant is not used to classify transactions; stocks or other flows</t>
  </si>
  <si>
    <t>COMP</t>
  </si>
  <si>
    <t>Fully - Staff compensation is above 95% of similar jobs in the public service.</t>
  </si>
  <si>
    <t>COMP|Fully - Staff compensation is above 95% of similar jobs in the public service.</t>
  </si>
  <si>
    <t>Highly - Staff compensation is between 90% and 95% of similar jobs in the public service</t>
  </si>
  <si>
    <t>COMP|Highly - Staff compensation is between 90% and 95% of similar jobs in the public service</t>
  </si>
  <si>
    <t>Broadly - Staff compensation is between 80% and 89% of similar jobs in the public service</t>
  </si>
  <si>
    <t>COMP|Broadly - Staff compensation is between 80% and 89% of similar jobs in the public service</t>
  </si>
  <si>
    <t>Partially - Staff compensation is between 70% and 79% of similar jobs in the public service</t>
  </si>
  <si>
    <t>COMP|Partially - Staff compensation is between 70% and 79% of similar jobs in the public service</t>
  </si>
  <si>
    <t>Not aligned - Staff compensation is below 70% of similar jobs in the public service</t>
  </si>
  <si>
    <t>COMP|Not aligned - Staff compensation is below 70% of similar jobs in the public service</t>
  </si>
  <si>
    <t>CSTCY|Fully - Estimates are within +/- 1% of each other</t>
  </si>
  <si>
    <t>CSTCY|Highly - Estimates are within 2% and 5% of each other</t>
  </si>
  <si>
    <t>CSTCY|Broadly - Estimates are within 6% and 10% of each other</t>
  </si>
  <si>
    <t>CSTCY|Partially - Estimates are within 11% and 20% of each other</t>
  </si>
  <si>
    <t>CSTCY|Not aligned - Estimates are greater than 20% of each other</t>
  </si>
  <si>
    <t>CVCL</t>
  </si>
  <si>
    <t>Fully - More than 90% of the recommended detail (accounts, tables, items, classes, sectors, products, instruments, transaction, assets etc.) are covered / estimated</t>
  </si>
  <si>
    <t>Fully - More than 90% of the recommended detail (accounts; tables; items; classes; sectors; products; instruments; transaction; assets etc.) are covered / estimated</t>
  </si>
  <si>
    <t>CVCL|Fully - More than 90% of the recommended detail (accounts; tables; items; classes; sectors; products; instruments; transaction; assets etc.) are covered / estimated</t>
  </si>
  <si>
    <t>Highly - Between 80% and 89% of the recommended detail (accounts, tables, items, classes, sectors, products, instruments, transaction, assets etc.)  are covered / estimated</t>
  </si>
  <si>
    <t>Highly - Between 80% and 89% of the recommended detail (accounts; tables; items; classes; sectors; products; instruments; transaction; assets etc.)  are covered / estimated</t>
  </si>
  <si>
    <t>CVCL|Highly - Between 80% and 89% of the recommended detail (accounts; tables; items; classes; sectors; products; instruments; transaction; assets etc.)  are covered / estimated</t>
  </si>
  <si>
    <t>Broadly - Between 50% and 79% of the recommended detail (accounts, tables, items, classes, sectors, products, instruments, transaction, assets etc.)  are covered / estimated</t>
  </si>
  <si>
    <t>Broadly - Between 50% and 79% of the recommended detail (accounts; tables; items; classes; sectors; products; instruments; transaction; assets etc.)  are covered / estimated</t>
  </si>
  <si>
    <t>CVCL|Broadly - Between 50% and 79% of the recommended detail (accounts; tables; items; classes; sectors; products; instruments; transaction; assets etc.)  are covered / estimated</t>
  </si>
  <si>
    <t>Partially - Between 10% and 49% of the recommended detail (accounts, tables, items, classes, sectors, products, instruments, transaction, assets etc.)  are covered / estimated</t>
  </si>
  <si>
    <t>Partially - Between 10% and 49% of the recommended detail (accounts; tables; items; classes; sectors; products; instruments; transaction; assets etc.)  are covered / estimated</t>
  </si>
  <si>
    <t>CVCL|Partially - Between 10% and 49% of the recommended detail (accounts; tables; items; classes; sectors; products; instruments; transaction; assets etc.)  are covered / estimated</t>
  </si>
  <si>
    <t>Not aligned - Less than 10% of the recommended detail (accounts, tables, items, classes, sectors, products, instruments, transaction, assets etc.) is covered / estimated</t>
  </si>
  <si>
    <t>Not aligned - Less than 10% of the recommended detail (accounts; tables; items; classes; sectors; products; instruments; transaction; assets etc.) is covered / estimated</t>
  </si>
  <si>
    <t>CVCL|Not aligned - Less than 10% of the recommended detail (accounts; tables; items; classes; sectors; products; instruments; transaction; assets etc.) is covered / estimated</t>
  </si>
  <si>
    <t>Not relevant - The recommended detail (accounts, tables, items, classes, sectors, products, instruments, transactions, assets etc.) is not relevant to our economy</t>
  </si>
  <si>
    <t>Not relevant - The recommended detail (accounts; tables; items; classes; sectors; products; instruments; transactions; assets etc.) is not relevant to our economy</t>
  </si>
  <si>
    <t>CVCL|Not relevant - The recommended detail (accounts; tables; items; classes; sectors; products; instruments; transactions; assets etc.) is not relevant to our economy</t>
  </si>
  <si>
    <t>CVINT</t>
  </si>
  <si>
    <t>Fully - Most recently published vintage of an international endorsed classification system</t>
  </si>
  <si>
    <t>CVINT|Fully - Most recently published vintage of an international endorsed classification system</t>
  </si>
  <si>
    <t>Highly - Most recently published vintage of a national variant with slight deviations to the internationally endorsed classification system.</t>
  </si>
  <si>
    <t>CVINT|Highly - Most recently published vintage of a national variant with slight deviations to the internationally endorsed classification system.</t>
  </si>
  <si>
    <t>Broadly - Previously published vintage of an internationally endorsed classification system</t>
  </si>
  <si>
    <t>CVINT|Broadly - Previously published vintage of an internationally endorsed classification system</t>
  </si>
  <si>
    <t>Partially - Previously published vintage of a national variant</t>
  </si>
  <si>
    <t>CVINT|Partially - Previously published vintage of a national variant</t>
  </si>
  <si>
    <t>Not aligned - only an aggregate value is published.</t>
  </si>
  <si>
    <t>CVINT|Not aligned - only an aggregate value is published.</t>
  </si>
  <si>
    <t>Fully - Over 95% of the recommended (activity, transactions, stocks/flows, territory, population, units) is covered / estimated</t>
  </si>
  <si>
    <t>CVU|Fully - Over 95% of the recommended (activity; transactions; stocks/flows; territory; population; units) is covered / estimated</t>
  </si>
  <si>
    <t>Highly - Between 90% and 94% of the recommended (activity, transactions, stocks/flows, territory, population, units) is covered / estimated</t>
  </si>
  <si>
    <t>CVU|Highly - Between 90% and 94% of the recommended (activity; transactions; stocks/flows; territory; population; units) is covered / estimated</t>
  </si>
  <si>
    <t>Broadly - Between 80% and 89% of the recommended (activity, transactions, stocks/flows, territory, population, units) is covered / estimated</t>
  </si>
  <si>
    <t>CVU|Broadly - Between 80% and 89% of the recommended (activity; transactions; stocks/flows; territory; population; units) is covered / estimated</t>
  </si>
  <si>
    <t>Partially - Between 50% and 79% of the recommended (activity, transactions, stocks/flows, territory, population, units) is covered / estimated</t>
  </si>
  <si>
    <t>CVU|Partially - Between 50% and 79% of the recommended (activity; transactions; stocks/flows; territory; population; units) is covered / estimated</t>
  </si>
  <si>
    <t>Not aligned - Less then 50% of the recommended (activity, transactions, stocks/flows, territory, population, units) is covered / estimated</t>
  </si>
  <si>
    <t>CVU|Not aligned - Less then 50% of the recommended (activity; transactions; stocks/flows; territory; population; units) is covered / estimated</t>
  </si>
  <si>
    <t>CVUNR|Fully - Over 95% of the recommended (activity; transactions; stocks/flows; territory; population; units) is covered / estimated</t>
  </si>
  <si>
    <t>CVUNR|Highly - Between 90% and 94% of the recommended (activity; transactions; stocks/flows; territory; population; units) is covered / estimated</t>
  </si>
  <si>
    <t>CVUNR|Broadly - Between 80% and 89% of the recommended (activity; transactions; stocks/flows; territory; population; units) is covered / estimated</t>
  </si>
  <si>
    <t>CVUNR|Partially - Between 50% and 79% of the recommended (activity; transactions; stocks/flows; territory; population; units) is covered / estimated</t>
  </si>
  <si>
    <t>CVUNR|Not aligned - Less then 50% of the recommended (activity; transactions; stocks/flows; territory; population; units) is covered / estimated</t>
  </si>
  <si>
    <t>CVUNR|Not relevant - this concept; accounting rule; valuation method; principle of recording is not relevant to our economy</t>
  </si>
  <si>
    <t>DS</t>
  </si>
  <si>
    <t>Fully - All public administrative data producers have a legal obligations to share relevant data with the NSO and other official data producers</t>
  </si>
  <si>
    <t>DS|Fully - All public administrative data producers have a legal obligations to share relevant data with the NSO and other official data producers</t>
  </si>
  <si>
    <t>Highly - Between 90% and 95% of all public administrative data producers have a legal obligation to share relevant data with the NSO and other official data producers</t>
  </si>
  <si>
    <t>DS|Highly - Between 90% and 95% of all public administrative data producers have a legal obligation to share relevant data with the NSO and other official data producers</t>
  </si>
  <si>
    <t>Broadly - Between 80% and 89% of all public administrative data producers have a legal obligation to share relevant data with the NSO and other official data producers</t>
  </si>
  <si>
    <t>DS|Broadly - Between 80% and 89% of all public administrative data producers have a legal obligation to share relevant data with the NSO and other official data producers</t>
  </si>
  <si>
    <t>Partially - Between 50% and 79% of all public administrative data producers have a legal obligation to share relevant data with the NSO and other official data producers</t>
  </si>
  <si>
    <t>DS|Partially - Between 50% and 79% of all public administrative data producers have a legal obligation to share relevant data with the NSO and other official data producers</t>
  </si>
  <si>
    <t>Not aligned - The statistical law does not specify that public administrative data producers have a legal obligation to share relevant data with the NSO and other official data producers</t>
  </si>
  <si>
    <t>DS|Not aligned - The statistical law does not specify that public administrative data producers have a legal obligation to share relevant data with the NSO and other official data producers</t>
  </si>
  <si>
    <t>EIC</t>
  </si>
  <si>
    <t>For the calculation of elementary indices, the unweighted geometric mean of price relatives (Jevons) is used.</t>
  </si>
  <si>
    <t>For the calculation of elementary indices; the unweighted geometric mean of price relatives (Jevons) is used.</t>
  </si>
  <si>
    <t>EIC|For the calculation of elementary indices; the unweighted geometric mean of price relatives (Jevons) is used.</t>
  </si>
  <si>
    <t xml:space="preserve">For the calculation of elementary indices, the ratio of the unweighted arithmetic average of prices (Dutot) is used. </t>
  </si>
  <si>
    <t xml:space="preserve">For the calculation of elementary indices; the ratio of the unweighted arithmetic average of prices (Dutot) is used. </t>
  </si>
  <si>
    <t xml:space="preserve">EIC|For the calculation of elementary indices; the ratio of the unweighted arithmetic average of prices (Dutot) is used. </t>
  </si>
  <si>
    <t>For the calculation of elementary indices, the arithmetic average of price relatives (Carli) is used?</t>
  </si>
  <si>
    <t>For the calculation of elementary indices; the arithmetic average of price relatives (Carli) is used?</t>
  </si>
  <si>
    <t>EIC|For the calculation of elementary indices; the arithmetic average of price relatives (Carli) is used?</t>
  </si>
  <si>
    <t>ETBV</t>
  </si>
  <si>
    <t>Fully - Code of ethics and ethical standards are documented and posted publicly where staff can access them, review and certify every year.</t>
  </si>
  <si>
    <t>Fully - Code of ethics and ethical standards are documented and posted publicly where staff can access them; review and certify every year.</t>
  </si>
  <si>
    <t>ETBV|Fully - Code of ethics and ethical standards are documented and posted publicly where staff can access them; review and certify every year.</t>
  </si>
  <si>
    <t>Highly - Code of ethics and ethical standards are documented are available to all staff but not posted for public access and reviewed by staff once per year</t>
  </si>
  <si>
    <t>ETBV|Highly - Code of ethics and ethical standards are documented are available to all staff but not posted for public access and reviewed by staff once per year</t>
  </si>
  <si>
    <t>Broadly - Code of ethics and ethical standards are  documented and available to a limited number of staff members and are reviewed by staff occasionally</t>
  </si>
  <si>
    <t>ETBV|Broadly - Code of ethics and ethical standards are  documented and available to a limited number of staff members and are reviewed by staff occasionally</t>
  </si>
  <si>
    <t>Partially - Code of ethics and ethical standards are documented and available to a limited number of staff members but are not reviewed</t>
  </si>
  <si>
    <t>ETBV|Partially - Code of ethics and ethical standards are documented and available to a limited number of staff members but are not reviewed</t>
  </si>
  <si>
    <t>Not aligned - Code of ethics and ethical standards do not exist</t>
  </si>
  <si>
    <t>ETBV|Not aligned - Code of ethics and ethical standards do not exist</t>
  </si>
  <si>
    <t>FREQ</t>
  </si>
  <si>
    <t>Daily</t>
  </si>
  <si>
    <t>FREQ|Daily</t>
  </si>
  <si>
    <t>Monthly</t>
  </si>
  <si>
    <t>FREQ|Monthly</t>
  </si>
  <si>
    <t>Quarterly</t>
  </si>
  <si>
    <t>FREQ|Quarterly</t>
  </si>
  <si>
    <t>Annual</t>
  </si>
  <si>
    <t>FREQ|Annual</t>
  </si>
  <si>
    <t>Bi-Annual</t>
  </si>
  <si>
    <t>FREQ|Bi-Annual</t>
  </si>
  <si>
    <t>Not aligned - Less than bi-annual</t>
  </si>
  <si>
    <t>FREQ|Not aligned - Less than bi-annual</t>
  </si>
  <si>
    <t>Not published</t>
  </si>
  <si>
    <t>FREQ|Not published</t>
  </si>
  <si>
    <t>FREQNR</t>
  </si>
  <si>
    <t>FREQNR|Daily</t>
  </si>
  <si>
    <t>FREQNR|Monthly</t>
  </si>
  <si>
    <t>FREQNR|Quarterly</t>
  </si>
  <si>
    <t>FREQNR|Annual</t>
  </si>
  <si>
    <t>FREQNR|Bi-Annual</t>
  </si>
  <si>
    <t>FREQNR|Not aligned - Less than bi-annual</t>
  </si>
  <si>
    <t>FREQNR|Not published</t>
  </si>
  <si>
    <t>Not relevant</t>
  </si>
  <si>
    <t>FREQNR|Not relevant</t>
  </si>
  <si>
    <t>FREQNRDC</t>
  </si>
  <si>
    <t>FREQNRDC|Daily</t>
  </si>
  <si>
    <t>FREQNRDC|Monthly</t>
  </si>
  <si>
    <t>FREQNRDC|Quarterly</t>
  </si>
  <si>
    <t>FREQNRDC|Annual</t>
  </si>
  <si>
    <t>FREQNRDC|Bi-Annual</t>
  </si>
  <si>
    <t>FREQNRDC|Not aligned - Less than bi-annual</t>
  </si>
  <si>
    <t>FREQNRDC|Not published</t>
  </si>
  <si>
    <t>FREQNRDC|Not relevant</t>
  </si>
  <si>
    <t>FREQNROFC</t>
  </si>
  <si>
    <t>FREQNROFC|Daily</t>
  </si>
  <si>
    <t>FREQNROFC|Monthly</t>
  </si>
  <si>
    <t>FREQNROFC|Quarterly</t>
  </si>
  <si>
    <t>FREQNROFC|Annual</t>
  </si>
  <si>
    <t>FREQNROFC|Bi-Annual</t>
  </si>
  <si>
    <t>FREQNROFC|Not aligned - Less than bi-annual</t>
  </si>
  <si>
    <t>FREQNROFC|Not published</t>
  </si>
  <si>
    <t>FREQNROFC|Not relevant</t>
  </si>
  <si>
    <t>INIT</t>
  </si>
  <si>
    <t>Fully - National Statistical Organizations have full autonomy in determining data sources, statistical concepts and methods and in hiring staff</t>
  </si>
  <si>
    <t>Fully - National Statistical Organizations have full autonomy in determining data sources; statistical concepts and methods and in hiring staff</t>
  </si>
  <si>
    <t>INIT|Fully - National Statistical Organizations have full autonomy in determining data sources; statistical concepts and methods and in hiring staff</t>
  </si>
  <si>
    <t>Highly - National Statistical Organizations have full autonomy in determining data sources, statistical concepts and methods but limited autonomy in hiring staff</t>
  </si>
  <si>
    <t>Highly - National Statistical Organizations have full autonomy in determining data sources; statistical concepts and methods but limited autonomy in hiring staff</t>
  </si>
  <si>
    <t>INIT|Highly - National Statistical Organizations have full autonomy in determining data sources; statistical concepts and methods but limited autonomy in hiring staff</t>
  </si>
  <si>
    <t>Broadly - National Statistical Organizations have limited autonomy in determining data sources, statistical concepts and methods and full autonomy in hiring staff</t>
  </si>
  <si>
    <t>Broadly - National Statistical Organizations have limited autonomy in determining data sources; statistical concepts and methods and full autonomy in hiring staff</t>
  </si>
  <si>
    <t>INIT|Broadly - National Statistical Organizations have limited autonomy in determining data sources; statistical concepts and methods and full autonomy in hiring staff</t>
  </si>
  <si>
    <t>Partially - National Statistical Organizations have limited autonomy in determining data sources, statistical concepts and methods and in hiring staff</t>
  </si>
  <si>
    <t>Partially - National Statistical Organizations have limited autonomy in determining data sources; statistical concepts and methods and in hiring staff</t>
  </si>
  <si>
    <t>INIT|Partially - National Statistical Organizations have limited autonomy in determining data sources; statistical concepts and methods and in hiring staff</t>
  </si>
  <si>
    <t>Not aligned - National Statistical Organizations do not have autonomy in determining data sources, statistical concepts and methods and in hiring staff</t>
  </si>
  <si>
    <t>Not aligned - National Statistical Organizations do not have autonomy in determining data sources; statistical concepts and methods and in hiring staff</t>
  </si>
  <si>
    <t>INIT|Not aligned - National Statistical Organizations do not have autonomy in determining data sources; statistical concepts and methods and in hiring staff</t>
  </si>
  <si>
    <t>OOH</t>
  </si>
  <si>
    <t>Rental equivalence used to measure OOH</t>
  </si>
  <si>
    <t>OOH|Rental equivalence used to measure OOH</t>
  </si>
  <si>
    <t>Net acquisitions approach used to measure OOH</t>
  </si>
  <si>
    <t>OOH|Net acquisitions approach used to measure OOH</t>
  </si>
  <si>
    <t>User cost approach used to measure OOH</t>
  </si>
  <si>
    <t>OOH|User cost approach used to measure OOH</t>
  </si>
  <si>
    <t>Payments approach used to measure OOH</t>
  </si>
  <si>
    <t>OOH|Payments approach used to measure OOH</t>
  </si>
  <si>
    <t>OOH excluded from the CPI</t>
  </si>
  <si>
    <t>OOH|OOH excluded from the CPI</t>
  </si>
  <si>
    <t>PC</t>
  </si>
  <si>
    <t>For a monthly CPI, price collection for all good and services takes place during all 4 weeks in the month.</t>
  </si>
  <si>
    <t>For a monthly CPI; price collection for all good and services takes place during all 4 weeks in the month.</t>
  </si>
  <si>
    <t>PC|For a monthly CPI; price collection for all good and services takes place during all 4 weeks in the month.</t>
  </si>
  <si>
    <t>For a monthly CPI, price collection for all good and services is limited to a period of no more than 3 weeks</t>
  </si>
  <si>
    <t>For a monthly CPI; price collection for all good and services is limited to a period of no more than 3 weeks</t>
  </si>
  <si>
    <t>PC|For a monthly CPI; price collection for all good and services is limited to a period of no more than 3 weeks</t>
  </si>
  <si>
    <t>For a monthly CPI, price collection for all good and services is limited to a period of no more than 2 weeks</t>
  </si>
  <si>
    <t>For a monthly CPI; price collection for all good and services is limited to a period of no more than 2 weeks</t>
  </si>
  <si>
    <t>PC|For a monthly CPI; price collection for all good and services is limited to a period of no more than 2 weeks</t>
  </si>
  <si>
    <t>For a monthly CPI, price collection for all good and services is limited to a period of no more than 1 week</t>
  </si>
  <si>
    <t>For a monthly CPI; price collection for all good and services is limited to a period of no more than 1 week</t>
  </si>
  <si>
    <t>PC|For a monthly CPI; price collection for all good and services is limited to a period of no more than 1 week</t>
  </si>
  <si>
    <t>For a monthly CPI, price collection for all good and services is limited to a single day in the month.</t>
  </si>
  <si>
    <t>For a monthly CPI; price collection for all good and services is limited to a single day in the month.</t>
  </si>
  <si>
    <t>PC|For a monthly CPI; price collection for all good and services is limited to a single day in the month.</t>
  </si>
  <si>
    <t>PRCV</t>
  </si>
  <si>
    <t>Fully - Are prices collected from both urban and rural areas?</t>
  </si>
  <si>
    <t>PRCV|Fully - Are prices collected from both urban and rural areas?</t>
  </si>
  <si>
    <t>Highly - Are prices collected in urban areas only?</t>
  </si>
  <si>
    <t>PRCV|Highly - Are prices collected in urban areas only?</t>
  </si>
  <si>
    <t>Broadly - Are prices collected in the capital city only?</t>
  </si>
  <si>
    <t>PRCV|Broadly - Are prices collected in the capital city only?</t>
  </si>
  <si>
    <t>RES</t>
  </si>
  <si>
    <t>Fully - Allocated resources are sufficient (quality and quantity) to meet program demands</t>
  </si>
  <si>
    <t>RES|Fully - Allocated resources are sufficient (quality and quantity) to meet program demands</t>
  </si>
  <si>
    <t>Highly - Allocated resources (quality and quantity) can only meet between 90% and 95% of program demands</t>
  </si>
  <si>
    <t>RES|Highly - Allocated resources (quality and quantity) can only meet between 90% and 95% of program demands</t>
  </si>
  <si>
    <t>Broadly - Allocated resources (quality and quantity) can only meet between 80% and 89% of program demands</t>
  </si>
  <si>
    <t>RES|Broadly - Allocated resources (quality and quantity) can only meet between 80% and 89% of program demands</t>
  </si>
  <si>
    <t>Partially - Allocated resources (quality and quantity) can only meet between 50% and 79% of program demands</t>
  </si>
  <si>
    <t>RES|Partially - Allocated resources (quality and quantity) can only meet between 50% and 79% of program demands</t>
  </si>
  <si>
    <t>Not aligned - Allocated resources (quality and quantity) can only meet less than 50% of program demands.</t>
  </si>
  <si>
    <t>RES|Not aligned - Allocated resources (quality and quantity) can only meet less than 50% of program demands.</t>
  </si>
  <si>
    <t>RESNR</t>
  </si>
  <si>
    <t>RESNR|Fully - Allocated resources are sufficient (quality and quantity) to meet program demands</t>
  </si>
  <si>
    <t>RESNR|Highly - Allocated resources (quality and quantity) can only meet between 90% and 95% of program demands</t>
  </si>
  <si>
    <t>RESNR|Broadly - Allocated resources (quality and quantity) can only meet between 80% and 89% of program demands</t>
  </si>
  <si>
    <t>RESNR|Partially - Allocated resources (quality and quantity) can only meet between 50% and 79% of program demands</t>
  </si>
  <si>
    <t>RESNR|Not aligned - Allocated resources (quality and quantity) can only meet less than 50% of program demands.</t>
  </si>
  <si>
    <t>Not Relevant - This organization does not produce statistics related to this domain.</t>
  </si>
  <si>
    <t>RESNR|Not Relevant - This organization does not produce statistics related to this domain.</t>
  </si>
  <si>
    <t>SASDA|Fully - Sub-annual source data are available for every period and fully cover the target population</t>
  </si>
  <si>
    <t>SASDA|Highly - Sub-annual source data are available for every period and cover between 90% and 95% of the target population</t>
  </si>
  <si>
    <t>SASDA|Broadly - Sub-annual source data are available for every period and cover between 80% and 89% of the target population</t>
  </si>
  <si>
    <t>SASDA|Partially - Sub-annual source data are available for every period and cover between 50% and 79% of the population</t>
  </si>
  <si>
    <t>SASDA|Not aligned - Sub-annual source data are not avaliable for every period and/or cover less than 50% of the target population.</t>
  </si>
  <si>
    <t>SASDANR</t>
  </si>
  <si>
    <t>SASDANR|Fully - Sub-annual source data are available for every period and fully cover the target population</t>
  </si>
  <si>
    <t>SASDANR|Highly - Sub-annual source data are available for every period and cover between 90% and 95% of the target population</t>
  </si>
  <si>
    <t>SASDANR|Broadly - Sub-annual source data are available for every period and cover between 80% and 89% of the target population</t>
  </si>
  <si>
    <t>SASDANR|Partially - Sub-annual source data are available for every period and cover between 50% and 79% of the population</t>
  </si>
  <si>
    <t>Not aligned - Sub-annual source data are not available for every period and cover less than 50% of the target population</t>
  </si>
  <si>
    <t>SASDANR|Not aligned - Sub-annual source data are not available for every period and cover less than 50% of the target population</t>
  </si>
  <si>
    <t>Not relevant - Not relevant for this economy</t>
  </si>
  <si>
    <t>SASDANR|Not relevant - Not relevant for this economy</t>
  </si>
  <si>
    <t>SDA|Fully - Data are available on a daily basis</t>
  </si>
  <si>
    <t>SDA|Fully - Data are available on a monthly basis</t>
  </si>
  <si>
    <t>SDA|Fully - Data are available on quarterly basis</t>
  </si>
  <si>
    <t>SDA|Highly - Data are available on an annual basis</t>
  </si>
  <si>
    <t>SDA|Broadly - Data are available on an annual basis at least every three years</t>
  </si>
  <si>
    <t>SDA|Partially - Data are available on an annual basis at least every five years</t>
  </si>
  <si>
    <t>SDA|Not Aligned – Data are available less frequently than every five years or only on an ad hoc basis.</t>
  </si>
  <si>
    <t>SDANR</t>
  </si>
  <si>
    <t>SDANR|Fully - Data are available on a daily basis</t>
  </si>
  <si>
    <t>SDANR|Fully - Data are available on a monthly basis</t>
  </si>
  <si>
    <t>SDANR|Fully - Data are available on quarterly basis</t>
  </si>
  <si>
    <t>SDANR|Highly - Data are available on an annual basis</t>
  </si>
  <si>
    <t>SDANR|Broadly - Data are available on an annual basis at least every three years</t>
  </si>
  <si>
    <t>SDANR|Partially - Data are available on an annual basis at least every five years</t>
  </si>
  <si>
    <t>SDANR|Not Aligned – Data are available less frequently than every five years or only on an ad hoc basis.</t>
  </si>
  <si>
    <t>SDANR|Not relevant - Not relevant for this economy</t>
  </si>
  <si>
    <t>Fully - Source data coverage, classifications, concepts, accounting rules, statistical methods are fully consistent with what is recommended by the statistical standards</t>
  </si>
  <si>
    <t>SDC|Fully - Source data coverage; classifications; concepts; accounting rules; statistical methods are fully consistent with what is recommended by the statistical standards</t>
  </si>
  <si>
    <t>SDC|Highly - Source data coverage and concepts are consistent with what is recommended by the statistical standard but adjustments to classifications are required</t>
  </si>
  <si>
    <t>SDC|Broadly - Source data coverage is consistent with what is recommended by the statistical standard but adjustments to classifications and concepts are required</t>
  </si>
  <si>
    <t>Partially - Significant adjustments to source data coverage, classifications, concepts are required to align with what is recommended by the statistical standard</t>
  </si>
  <si>
    <t>SDC|Partially - Significant adjustments to source data coverage; classifications; concepts are required to align with what is recommended by the statistical standard</t>
  </si>
  <si>
    <t>SDC|Not aligned - Source data is not available and models are used</t>
  </si>
  <si>
    <t>SDCNR</t>
  </si>
  <si>
    <t>SDCNR|Fully - Source data coverage; classifications; concepts; accounting rules; statistical methods are fully consistent with what is recommended by the statistical standards</t>
  </si>
  <si>
    <t>SDCNR|Highly - Source data coverage and concepts are consistent with what is recommended by the statistical standard but adjustments to classifications are required</t>
  </si>
  <si>
    <t>SDCNR|Broadly - Source data coverage is consistent with what is recommended by the statistical standard but adjustments to classifications and concepts are required</t>
  </si>
  <si>
    <t>SDCNR|Partially - Significant adjustments to source data coverage; classifications; concepts are required to align with what is recommended by the statistical standard</t>
  </si>
  <si>
    <t>SDCNR|Not aligned - Source data is not available and models are used</t>
  </si>
  <si>
    <t>SDCNR|Not relevant - Not relevant for this economy</t>
  </si>
  <si>
    <t>SGPP</t>
  </si>
  <si>
    <t>Fully - Recommended revision studies/analysis/roadmaps/standards/guidelines/procedures/policies are documented and available to all staff and posted where the public can access them</t>
  </si>
  <si>
    <t>SGPP|Fully - Recommended revision studies/analysis/roadmaps/standards/guidelines/procedures/policies are documented and available to all staff and posted where the public can access them</t>
  </si>
  <si>
    <t>Highly - Recommended revision studies/analysis/roadmaps/standards/guidelines/procedures/policies are documented are available to all staff but not posted for public access</t>
  </si>
  <si>
    <t>SGPP|Highly - Recommended revision studies/analysis/roadmaps/standards/guidelines/procedures/policies are documented are available to all staff but not posted for public access</t>
  </si>
  <si>
    <t>Broadly - Recommended revision studies/analysis/roadmaps/standards/guidelines/procedures/policies are documented and available to a limited set of staff members</t>
  </si>
  <si>
    <t>SGPP|Broadly - Recommended revision studies/analysis/roadmaps/standards/guidelines/procedures/policies are documented and available to a limited set of staff members</t>
  </si>
  <si>
    <t>Partially - Recommended revision studies/analysis/roadmaps/standards/guidelines/procedures/policies are not documented</t>
  </si>
  <si>
    <t>SGPP|Partially - Recommended revision studies/analysis/roadmaps/standards/guidelines/procedures/policies are not documented</t>
  </si>
  <si>
    <t>Not aligned - Recommended revision studies/analysis/roadmaps/standards/guidelines/procedures and/or policies do not exist</t>
  </si>
  <si>
    <t>SGPP|Not aligned - Recommended revision studies/analysis/roadmaps/standards/guidelines/procedures and/or policies do not exist</t>
  </si>
  <si>
    <t>SM</t>
  </si>
  <si>
    <t>Fully - Statistical methods are reviewed once per year and align with the latest advances in statistical methods</t>
  </si>
  <si>
    <t>SM|Fully - Statistical methods are reviewed once per year and align with the latest advances in statistical methods</t>
  </si>
  <si>
    <t>Highly - Statistical methods are reviewed once every two years and align with the latest advances in statistical methods</t>
  </si>
  <si>
    <t>SM|Highly - Statistical methods are reviewed once every two years and align with the latest advances in statistical methods</t>
  </si>
  <si>
    <t>Broadly - Statistical methods are periodically reviewed but not subject to a regular review cycle</t>
  </si>
  <si>
    <t>SM|Broadly - Statistical methods are periodically reviewed but not subject to a regular review cycle</t>
  </si>
  <si>
    <t>Partially - Statistical methods have not been reviewed or updated in the last five years</t>
  </si>
  <si>
    <t>SM|Partially - Statistical methods have not been reviewed or updated in the last five years</t>
  </si>
  <si>
    <t>Not aligned - Internationally accepted statistical methods are not used</t>
  </si>
  <si>
    <t>SM|Not aligned - Internationally accepted statistical methods are not used</t>
  </si>
  <si>
    <t>TIME</t>
  </si>
  <si>
    <t>1-30 day lag</t>
  </si>
  <si>
    <t>TIME|1-30 day lag</t>
  </si>
  <si>
    <t>31-45 day lag</t>
  </si>
  <si>
    <t>TIME|31-45 day lag</t>
  </si>
  <si>
    <t>46-60 day lag</t>
  </si>
  <si>
    <t>TIME|46-60 day lag</t>
  </si>
  <si>
    <t>61-90 day lag</t>
  </si>
  <si>
    <t>TIME|61-90 day lag</t>
  </si>
  <si>
    <t>91-120 day lag</t>
  </si>
  <si>
    <t>TIME|91-120 day lag</t>
  </si>
  <si>
    <t>121-210 day lag</t>
  </si>
  <si>
    <t>TIME|121-210 day lag</t>
  </si>
  <si>
    <t>211-270 day lag</t>
  </si>
  <si>
    <t>TIME|211-270 day lag</t>
  </si>
  <si>
    <t>271-300 day lag</t>
  </si>
  <si>
    <t>TIME|271-300 day lag</t>
  </si>
  <si>
    <t>301-330 day lag</t>
  </si>
  <si>
    <t>TIME|301-330 day lag</t>
  </si>
  <si>
    <t>331-365 day lag</t>
  </si>
  <si>
    <t>TIME|331-365 day lag</t>
  </si>
  <si>
    <t>Greater than 365 days</t>
  </si>
  <si>
    <t>TIME|Greater than 365 days</t>
  </si>
  <si>
    <t>TIME|Not published</t>
  </si>
  <si>
    <t>TIMENR</t>
  </si>
  <si>
    <t>TIMENR|1-30 day lag</t>
  </si>
  <si>
    <t>TIMENR|31-45 day lag</t>
  </si>
  <si>
    <t>TIMENR|46-60 day lag</t>
  </si>
  <si>
    <t>TIMENR|61-90 day lag</t>
  </si>
  <si>
    <t>TIMENR|91-120 day lag</t>
  </si>
  <si>
    <t>TIMENR|121-210 day lag</t>
  </si>
  <si>
    <t>TIMENR|211-270 day lag</t>
  </si>
  <si>
    <t>TIMENR|271-300 day lag</t>
  </si>
  <si>
    <t>TIMENR|301-330 day lag</t>
  </si>
  <si>
    <t>TIMENR|331-365 day lag</t>
  </si>
  <si>
    <t>TIMENR|Greater than 365 days</t>
  </si>
  <si>
    <t>TIMENR|Not published</t>
  </si>
  <si>
    <t>TIMENR|Not relevant</t>
  </si>
  <si>
    <t>TIMENRDC</t>
  </si>
  <si>
    <t>TIMENRDC|1-30 day lag</t>
  </si>
  <si>
    <t>TIMENRDC|31-45 day lag</t>
  </si>
  <si>
    <t>TIMENRDC|46-60 day lag</t>
  </si>
  <si>
    <t>TIMENRDC|61-90 day lag</t>
  </si>
  <si>
    <t>TIMENRDC|91-120 day lag</t>
  </si>
  <si>
    <t>TIMENRDC|121-210 day lag</t>
  </si>
  <si>
    <t>TIMENRDC|211-270 day lag</t>
  </si>
  <si>
    <t>TIMENRDC|271-300 day lag</t>
  </si>
  <si>
    <t>TIMENRDC|301-330 day lag</t>
  </si>
  <si>
    <t>TIMENRDC|331-365 day lag</t>
  </si>
  <si>
    <t>TIMENRDC|Greater than 365 days</t>
  </si>
  <si>
    <t>TIMENRDC|Not published</t>
  </si>
  <si>
    <t>TIMENRDC|Not relevant</t>
  </si>
  <si>
    <t>TIMENROFC</t>
  </si>
  <si>
    <t>TIMENROFC|1-30 day lag</t>
  </si>
  <si>
    <t>TIMENROFC|31-45 day lag</t>
  </si>
  <si>
    <t>TIMENROFC|46-60 day lag</t>
  </si>
  <si>
    <t>TIMENROFC|61-90 day lag</t>
  </si>
  <si>
    <t>TIMENROFC|91-120 day lag</t>
  </si>
  <si>
    <t>TIMENROFC|121-210 day lag</t>
  </si>
  <si>
    <t>TIMENROFC|211-270 day lag</t>
  </si>
  <si>
    <t>TIMENROFC|271-300 day lag</t>
  </si>
  <si>
    <t>TIMENROFC|301-330 day lag</t>
  </si>
  <si>
    <t>TIMENROFC|331-365 day lag</t>
  </si>
  <si>
    <t>TIMENROFC|Greater than 365 days</t>
  </si>
  <si>
    <t>TIMENROFC|Not published</t>
  </si>
  <si>
    <t>TIMENROFC|Not relevant</t>
  </si>
  <si>
    <t>TP</t>
  </si>
  <si>
    <t>Fully - Within the last five years</t>
  </si>
  <si>
    <t>TP|Fully - Within the last five years</t>
  </si>
  <si>
    <t>Highly - Between the last 6 and 10 years</t>
  </si>
  <si>
    <t>TP|Highly - Between the last 6 and 10 years</t>
  </si>
  <si>
    <t>Broadly - Between the last 11 and 15 years</t>
  </si>
  <si>
    <t>TP|Broadly - Between the last 11 and 15 years</t>
  </si>
  <si>
    <t>Partially - Between the last 16 and 20 years</t>
  </si>
  <si>
    <t>TP|Partially - Between the last 16 and 20 years</t>
  </si>
  <si>
    <t>Not aligned - More than 20 years or does not exist</t>
  </si>
  <si>
    <t>TP|Not aligned - More than 20 years or does not exist</t>
  </si>
  <si>
    <t>Yes - This recommendation / best practice is fully implemented</t>
  </si>
  <si>
    <t>YMN|Yes - This recommendation / best practice is fully implemented</t>
  </si>
  <si>
    <t>Broadly - This recommendation / best practice is implemented but not consistently implemented</t>
  </si>
  <si>
    <t>YMN|Broadly - This recommendation / best practice is implemented but not consistently implemented</t>
  </si>
  <si>
    <t>No - This recommendation / best practice has not been implemented</t>
  </si>
  <si>
    <t>YMN|No - This recommendation / best practice has not been implemented</t>
  </si>
  <si>
    <t>ID</t>
  </si>
  <si>
    <t>Weight</t>
  </si>
  <si>
    <t>1_10_1</t>
  </si>
  <si>
    <t>1_11_1</t>
  </si>
  <si>
    <t>1_1_1</t>
  </si>
  <si>
    <t>1_2_1</t>
  </si>
  <si>
    <t>1_3_1</t>
  </si>
  <si>
    <t>1_4_1</t>
  </si>
  <si>
    <t>1_4_2</t>
  </si>
  <si>
    <t>1_4_3</t>
  </si>
  <si>
    <t>1_5_1</t>
  </si>
  <si>
    <t>1_6_1</t>
  </si>
  <si>
    <t>1_7_1</t>
  </si>
  <si>
    <t>1_8_1</t>
  </si>
  <si>
    <t>1_9_1</t>
  </si>
  <si>
    <t>2_1_1</t>
  </si>
  <si>
    <t>2_2_1</t>
  </si>
  <si>
    <t>2_2_2</t>
  </si>
  <si>
    <t>2_2_3</t>
  </si>
  <si>
    <t>2_2_4</t>
  </si>
  <si>
    <t>2_3_1</t>
  </si>
  <si>
    <t>3_1_1</t>
  </si>
  <si>
    <t>3_1_2</t>
  </si>
  <si>
    <t>3_1_3</t>
  </si>
  <si>
    <t>3_2_1</t>
  </si>
  <si>
    <t>3_2_2</t>
  </si>
  <si>
    <t>3_3_1</t>
  </si>
  <si>
    <t>3_4_1</t>
  </si>
  <si>
    <t>3_5_1</t>
  </si>
  <si>
    <t>3_5_2</t>
  </si>
  <si>
    <t>3_5_3</t>
  </si>
  <si>
    <t>3_5_4</t>
  </si>
  <si>
    <t>3_5_5</t>
  </si>
  <si>
    <t>5_1_1</t>
  </si>
  <si>
    <t>5_2_1</t>
  </si>
  <si>
    <t>5_3_1</t>
  </si>
  <si>
    <t>5_3_2</t>
  </si>
  <si>
    <t>5_3_3</t>
  </si>
  <si>
    <t>5_3_4</t>
  </si>
  <si>
    <t>5_4_1</t>
  </si>
  <si>
    <t>5_4_2</t>
  </si>
  <si>
    <t>5_4_3</t>
  </si>
  <si>
    <t>5_4_4</t>
  </si>
  <si>
    <t>5_4_5</t>
  </si>
  <si>
    <t>5_5_1</t>
  </si>
  <si>
    <t>5_6_1</t>
  </si>
  <si>
    <t>5_6_2</t>
  </si>
  <si>
    <t>Name</t>
  </si>
  <si>
    <t>3_1</t>
  </si>
  <si>
    <t>Aligned with concepts and definitions</t>
  </si>
  <si>
    <t>3_2</t>
  </si>
  <si>
    <t>Aligned with accounting rules</t>
  </si>
  <si>
    <t>3_3</t>
  </si>
  <si>
    <t>Aligned with statistical methods</t>
  </si>
  <si>
    <t>3_4</t>
  </si>
  <si>
    <t>Aligned with classifications</t>
  </si>
  <si>
    <t>3_5</t>
  </si>
  <si>
    <t>Aligned with the recommended scope of statistical output</t>
  </si>
  <si>
    <t>Source data are adequate to ensure accuracy and reliability.</t>
  </si>
  <si>
    <t>Rigourous quality assurance practices are employed</t>
  </si>
  <si>
    <t>Data consistency</t>
  </si>
  <si>
    <t>5_1</t>
  </si>
  <si>
    <t>Periodicity</t>
  </si>
  <si>
    <t>5_2</t>
  </si>
  <si>
    <t>Timeliness</t>
  </si>
  <si>
    <t>5_3</t>
  </si>
  <si>
    <t>Correction and revision policy and practice</t>
  </si>
  <si>
    <t>5_4</t>
  </si>
  <si>
    <t>Data accessibility</t>
  </si>
  <si>
    <t>5_5</t>
  </si>
  <si>
    <t>Metadata accessibility</t>
  </si>
  <si>
    <t>5_6</t>
  </si>
  <si>
    <t>Assistance to users</t>
  </si>
  <si>
    <t>1_1</t>
  </si>
  <si>
    <t>The legal framework defining the national statistical system is comprehensive</t>
  </si>
  <si>
    <t>1_2</t>
  </si>
  <si>
    <t>Professional independence is ensured</t>
  </si>
  <si>
    <t>1_3</t>
  </si>
  <si>
    <t>Effective coordination of the national statistical system</t>
  </si>
  <si>
    <t>1_4</t>
  </si>
  <si>
    <t>Statistical confidentiality and data security are assured</t>
  </si>
  <si>
    <t>1_5</t>
  </si>
  <si>
    <t>Response burden is minimized</t>
  </si>
  <si>
    <t>1_6</t>
  </si>
  <si>
    <t>Human resources are adequate</t>
  </si>
  <si>
    <t>1_7</t>
  </si>
  <si>
    <t>Information technology resources are adequate</t>
  </si>
  <si>
    <t>1_8</t>
  </si>
  <si>
    <t>Physical infrastructure is adequate</t>
  </si>
  <si>
    <t>1_9</t>
  </si>
  <si>
    <t>Cost-effectiveness practices are implemented</t>
  </si>
  <si>
    <t>1_10</t>
  </si>
  <si>
    <t>Processes are in place to maintain relevance</t>
  </si>
  <si>
    <t>1_11</t>
  </si>
  <si>
    <t>Quality management practices are implemented</t>
  </si>
  <si>
    <t>2_1</t>
  </si>
  <si>
    <t>Institutional integrity is ensured</t>
  </si>
  <si>
    <t>2_2</t>
  </si>
  <si>
    <t>Transparency is ensured</t>
  </si>
  <si>
    <t>2_3</t>
  </si>
  <si>
    <t>Ethical standards are implemented</t>
  </si>
  <si>
    <t>RBP_P</t>
  </si>
  <si>
    <t>1_1_1_1</t>
  </si>
  <si>
    <t>A statistical law or other relevant law establishes a clear legal framework for the development, production, and dissemination of official statistics.</t>
  </si>
  <si>
    <t>1_1_1_2</t>
  </si>
  <si>
    <t>A statistical law or other relevant law clearly defines “official statistics” and distinguishes them from other statistics (e.g., administrative or private statistics).</t>
  </si>
  <si>
    <t>1_1_1_3</t>
  </si>
  <si>
    <t>The Fundamental Principle of Official Statistics—Relevance, Impartiality, and Equal Access—is embedded in the statistical law or other relevant law.</t>
  </si>
  <si>
    <t>1_1_1_4</t>
  </si>
  <si>
    <t>The statistical law or other relevant law provides a clear mandate for producers to collect data (including compulsory surveys when necessary) when such data are not otherwise available.</t>
  </si>
  <si>
    <t>1_1_1_5</t>
  </si>
  <si>
    <t>The statistical law or other relevant law overrides conflicting provisions in other legislation, or requires other laws to comply with statistical requirements where needed.</t>
  </si>
  <si>
    <t>1_1_1_6</t>
  </si>
  <si>
    <t>The statistical law or other relevant law has been updated recently, and the date of the most recent update is documented.</t>
  </si>
  <si>
    <t>1_1_1_7</t>
  </si>
  <si>
    <t>The Fundamental Principle of Official Statistics—Professional Standards, Scientific Principles, and Professional Ethics—is embedded in the statistical law or other relevant law.</t>
  </si>
  <si>
    <t>1_1_1_8</t>
  </si>
  <si>
    <t>The Fundamental Principle of Official Statistics—Accountability and Transparency—is embedded in the statistical law or other relevant law.</t>
  </si>
  <si>
    <t>1_1_1_9</t>
  </si>
  <si>
    <t>The Fundamental Principle of Official Statistics—Prevention of Misuse—is embedded in the statistical law or other relevant law.</t>
  </si>
  <si>
    <t>1_2_1_1</t>
  </si>
  <si>
    <t>A National Statistical Office (NSO), department, or organizational unit is designated as a professionally independent body and recognized as the leading authority of the national statistical system.</t>
  </si>
  <si>
    <t>1_2_1_2</t>
  </si>
  <si>
    <t>The National Statistical Office (or equivalent) has full autonomy over statistical methods, data sources, content, and the timing of releases, free from political or administrative interference.</t>
  </si>
  <si>
    <t>1_2_1_3</t>
  </si>
  <si>
    <t>The head of the statistical organization is appointed through an open, merit-based process for a fixed term, with strictly limited and clearly defined grounds for dismissal.</t>
  </si>
  <si>
    <t>1_2_1_4</t>
  </si>
  <si>
    <t>The head of the statistical organization has full authority over the organization’s structure and staffing decisions.</t>
  </si>
  <si>
    <t>1_3_1_1</t>
  </si>
  <si>
    <t>Statistical producers (e.g., the NSO, line ministries, and the central bank) are clearly identified in law and are required to follow the principles of official statistics.</t>
  </si>
  <si>
    <t>1_3_1_2</t>
  </si>
  <si>
    <t>A government policy assigns a coordinating body (e.g., the NSO) the authority to coordinate the national statistical system, including issuing common standards, methods, and classifications.</t>
  </si>
  <si>
    <t>1_3_1_3</t>
  </si>
  <si>
    <t>Public administrative data producers have a legal obligation to share data with the NSO and other official statistical producers.</t>
  </si>
  <si>
    <t>1_3_1_4</t>
  </si>
  <si>
    <t>Data exchange agreements (e.g., MOUs) are established with customs authorities.</t>
  </si>
  <si>
    <t>1_3_1_5</t>
  </si>
  <si>
    <t>The date of the most recent data sharing agreement with customs authorities is documented.</t>
  </si>
  <si>
    <t>1_3_1_6</t>
  </si>
  <si>
    <t>Data exchange agreements (e.g., MOUs) are established with tax authorities.</t>
  </si>
  <si>
    <t>1_3_1_7</t>
  </si>
  <si>
    <t>The date of the most recent data sharing agreement with tax authorities is documented.</t>
  </si>
  <si>
    <t>1_3_1_8</t>
  </si>
  <si>
    <t>Data exchange agreements (e.g., MOUs) are established with social security authorities.</t>
  </si>
  <si>
    <t>1_3_1_9</t>
  </si>
  <si>
    <t>The date of the most recent data sharing agreement with social security authorities is documented.</t>
  </si>
  <si>
    <t>1_4_1_1</t>
  </si>
  <si>
    <t>Appropriate policies and practices guarantee the security and integrity of data and their transmission.</t>
  </si>
  <si>
    <t>1_4_1_2</t>
  </si>
  <si>
    <t>Identification risk for individual respondents is assessed and managed using documented practices.</t>
  </si>
  <si>
    <t>1_4_1_3</t>
  </si>
  <si>
    <t>Statistical confidentiality is explicitly guaranteed by law or an equivalent legal instrument.</t>
  </si>
  <si>
    <t>1_4_1_4</t>
  </si>
  <si>
    <t>Data collected by the national statistical system are used exclusively for statistical purposes and are not shared with other authorities for enforcement, regulatory, or administrative decisions.</t>
  </si>
  <si>
    <t>1_4_1_5</t>
  </si>
  <si>
    <t>Documented standards, guidelines, and procedures exist to ensure statistical confidentiality is applied consistently across the agency’s data handling processes.</t>
  </si>
  <si>
    <t>1_4_2_1</t>
  </si>
  <si>
    <t>Access to individual-level data is restricted to staff who require the information to perform their statistical duties.</t>
  </si>
  <si>
    <t>1_4_2_2</t>
  </si>
  <si>
    <t>Special aggregation and disclosure control rules are applied to prevent residual disclosure when disseminating aggregates derived from survey or other confidential data.</t>
  </si>
  <si>
    <t>1_4_2_3</t>
  </si>
  <si>
    <t>All outputs are reviewed for possible indirect (residual) disclosure, and tables and dissemination products are designed to prevent disclosure.</t>
  </si>
  <si>
    <t>1_4_2_4</t>
  </si>
  <si>
    <t>Data retention policies are established, followed, and compliance is monitored.</t>
  </si>
  <si>
    <t>1_4_2_5</t>
  </si>
  <si>
    <t>Staff are required to sign confidentiality undertakings as part of their terms of employment.</t>
  </si>
  <si>
    <t>1_4_2_6</t>
  </si>
  <si>
    <t>Strict protocols govern microdata access for research or statistical purposes, including confidentiality safeguards such as secure access arrangements and anonymization protocols.</t>
  </si>
  <si>
    <t>1_4_3_1</t>
  </si>
  <si>
    <t>Penalties for willful breaches of statistical confidentiality are prescribed and are well-known through legislation and/or agency policies.</t>
  </si>
  <si>
    <t>1_4_3_2</t>
  </si>
  <si>
    <t>The law or relevant organizational policy includes provisions that ensure secure data processing and storage.</t>
  </si>
  <si>
    <t>1_5_1_1</t>
  </si>
  <si>
    <t>The producing agency actively considers response burden and pursues alternative non-survey avenues to obtain data where feasible.</t>
  </si>
  <si>
    <t>1_5_1_2</t>
  </si>
  <si>
    <t>The producing agency assists respondents in completing and submitting forms and clearly states the purpose and legal authority for the data collection.</t>
  </si>
  <si>
    <t>1_5_1_3</t>
  </si>
  <si>
    <t>The producing agency promotes respondent cooperation through goodwill measures, including registering and addressing complaints, explaining collection purposes, communicating burden-reduction measures, raising awareness of the value of quality statistics, and providing respondents with data upon request where appropriate.</t>
  </si>
  <si>
    <t>1_6_1_1</t>
  </si>
  <si>
    <t>The institution maintains a documented staffing complement, including the total number of staff.</t>
  </si>
  <si>
    <t>1_6_1_2</t>
  </si>
  <si>
    <t>The number of staff assigned to statistical program(s) is sufficient to meet quality requirements (scope, timeliness, frequency, accuracy and reliability, serviceability, and accessibility).</t>
  </si>
  <si>
    <t>1_6_1_3</t>
  </si>
  <si>
    <t>Staff qualifications and skills adequately cover the methodological and analytical needs of the statistical program(s).</t>
  </si>
  <si>
    <t>1_6_1_4</t>
  </si>
  <si>
    <t>The responsible agency has an adequate number of statisticians to support the scope of the program.</t>
  </si>
  <si>
    <t>1_6_1_5</t>
  </si>
  <si>
    <t>The responsible agency has an adequate number of GIS experts to support economic statistics needs where relevant.</t>
  </si>
  <si>
    <t>1_6_1_6</t>
  </si>
  <si>
    <t>The responsible agency has an adequate number of economists to support economic statistics needs where relevant.</t>
  </si>
  <si>
    <t>1_6_1_7</t>
  </si>
  <si>
    <t>The responsible agency has an adequate number of sociologists or social science experts to support social statistics needs where relevant.</t>
  </si>
  <si>
    <t>1_6_1_8</t>
  </si>
  <si>
    <t>The responsible agency has an adequate number of data scientists to manage new data sources (e.g., big data, administrative data) and advanced analytics.</t>
  </si>
  <si>
    <t>1_6_1_9</t>
  </si>
  <si>
    <t>The responsible agency has an adequate number of administrative staff to support operations, including work related to new data sources and advanced analytics.</t>
  </si>
  <si>
    <t>1_7_1_1</t>
  </si>
  <si>
    <t>Computing resources (hardware, software, and network capacity) are sufficient to compile and disseminate the statistical programs.</t>
  </si>
  <si>
    <t>1_7_1_2</t>
  </si>
  <si>
    <t>Software used to compile and analyze statistics is effective, regularly updated, and well-adapted to current and emerging tasks.</t>
  </si>
  <si>
    <t>1_7_1_3</t>
  </si>
  <si>
    <t>Hardware (computers, servers) is distributed adequately to enable efficient collection, processing, and database management.</t>
  </si>
  <si>
    <t>1_7_1_4</t>
  </si>
  <si>
    <t>Data backup and disaster recovery measures are in place to protect databases and ensure rapid retrieval of statistical series.</t>
  </si>
  <si>
    <t>1_7_1_5</t>
  </si>
  <si>
    <t>An IT roadmap is maintained and regularly updated to ensure the organization uses appropriate, up-to-date technology to process, disseminate, and safeguard national data assets.</t>
  </si>
  <si>
    <t>1_8_1_1</t>
  </si>
  <si>
    <t>Office building facilities provide adequate working conditions (e.g., lighting, heating/cooling, and space) to support staff efficiency.</t>
  </si>
  <si>
    <t>1_8_1_2</t>
  </si>
  <si>
    <t>Office furniture and equipment are sufficient to perform required tasks comfortably and effectively.</t>
  </si>
  <si>
    <t>1_8_1_3</t>
  </si>
  <si>
    <t>Transportation arrangements are adequate to support the statistical program, including field data collection where relevant.</t>
  </si>
  <si>
    <t>1_9_1_1</t>
  </si>
  <si>
    <t>Budgeting practices provide clear information to financing authorities and support priority-based discussions on expansions or cutbacks.</t>
  </si>
  <si>
    <t>1_9_1_2</t>
  </si>
  <si>
    <t>The funding horizon (two to three years or more) supports strategic planning for future statistical developments and innovations.</t>
  </si>
  <si>
    <t>1_9_1_3</t>
  </si>
  <si>
    <t>Periodic staff performance reviews are conducted to support alignment with goals and encourage efficiency.</t>
  </si>
  <si>
    <t>1_9_1_4</t>
  </si>
  <si>
    <t>Efficiency is pursued through periodic reviews of work processes, including survey cost-effectiveness and methodological consistency across datasets.</t>
  </si>
  <si>
    <t>1_9_1_5</t>
  </si>
  <si>
    <t>Costing procedures measuring resources used to compile statistics are carried out periodically and compared across programs.</t>
  </si>
  <si>
    <t>1_9_1_6</t>
  </si>
  <si>
    <t>Budgeting procedures support management in allocating resources across competing statistical priorities.</t>
  </si>
  <si>
    <t>1_9_1_7</t>
  </si>
  <si>
    <t>A resource mobilization strategy (e.g., an NSDS or equivalent) exists to fund statistical work and the development program.</t>
  </si>
  <si>
    <t>1_9_1_8</t>
  </si>
  <si>
    <t>The annual work plan is feasible given available resources (staff, budget, IT, and related capacities).</t>
  </si>
  <si>
    <t>1_9_1_9</t>
  </si>
  <si>
    <t>Costs (staff and other costs) are measured at each stage of the production process for key statistical outputs.</t>
  </si>
  <si>
    <t>3_1_1_1</t>
  </si>
  <si>
    <t>The domestic territory is treated as part of the compiling economy’s economic territory for BOP/IIP purposes.</t>
  </si>
  <si>
    <t>3_1_1_2</t>
  </si>
  <si>
    <t>Resident incorporated and unincorporated affiliates of nonresident companies are included in the BOP/IIP data.</t>
  </si>
  <si>
    <t>3_1_1_3</t>
  </si>
  <si>
    <t>Territorial enclaves in other countries (e.g., embassies, military bases) are treated as part of the compiling economy’s economic territory.</t>
  </si>
  <si>
    <t>3_1_1_4</t>
  </si>
  <si>
    <t>Free zones, bonded warehouses, and offshore factories under customs control are included in the compiling economy’s economic territory.</t>
  </si>
  <si>
    <t>3_1_1_5</t>
  </si>
  <si>
    <t>Seasonal and cross-border workers who meet BPM residence criteria (center of economic interest) are treated as residents.</t>
  </si>
  <si>
    <t>3_1_1_6</t>
  </si>
  <si>
    <t>The residence of special purpose entities (SPEs) is attributed to the economy in which they are incorporated.</t>
  </si>
  <si>
    <t>3_1_1_7</t>
  </si>
  <si>
    <t>International organizations are excluded from any national economy’s economic territory and are treated as a separate region.</t>
  </si>
  <si>
    <t>3_1_1_8</t>
  </si>
  <si>
    <t>All units of general government operating abroad (e.g., embassies, military bases) are treated as resident in their own economy.</t>
  </si>
  <si>
    <t>3_1_1_9</t>
  </si>
  <si>
    <t>Individuals working continuously for one year or more in a foreign economy cease to be residents of their home economy, subject to BPM residence criteria and circumstances.</t>
  </si>
  <si>
    <t>3_1_2_1</t>
  </si>
  <si>
    <t>BOP coverage includes both foreign currency and domestic currency transactions with nonresidents.</t>
  </si>
  <si>
    <t>3_1_2_2</t>
  </si>
  <si>
    <t>BOP coverage includes both exchanges and unrequited transfers (transactions without a quid pro quo).</t>
  </si>
  <si>
    <t>3_1_2_3</t>
  </si>
  <si>
    <t>Repairs on goods are covered in the BOP.</t>
  </si>
  <si>
    <t>3_1_2_4</t>
  </si>
  <si>
    <t>Transactions involving nonmonetary gold are covered in the BOP.</t>
  </si>
  <si>
    <t>3_1_2_5</t>
  </si>
  <si>
    <t>Shuttle trade activities are covered in the BOP.</t>
  </si>
  <si>
    <t>3_1_2_6</t>
  </si>
  <si>
    <t>Smuggling is covered in the BOP.</t>
  </si>
  <si>
    <t>3_1_2_7</t>
  </si>
  <si>
    <t>Purchases of computer software are covered in the BOP.</t>
  </si>
  <si>
    <t>3_1_2_8</t>
  </si>
  <si>
    <t>Mineral exploration is covered in the BOP.</t>
  </si>
  <si>
    <t>3_1_2_9</t>
  </si>
  <si>
    <t>E-commerce transactions are covered in the BOP.</t>
  </si>
  <si>
    <t>3_1_3_1</t>
  </si>
  <si>
    <t>Net lending/net borrowing in the current and capital account is, in principle, equal to net lending/net borrowing in the financial account.</t>
  </si>
  <si>
    <t>3_1_3_2</t>
  </si>
  <si>
    <t>Merchanting is classified under goods trade, with gross and net values shown and net amounts included in goods exports aggregates.</t>
  </si>
  <si>
    <t>3_1_3_3</t>
  </si>
  <si>
    <t>Outright purchases and sales of R&amp;D results (including patents and copyrights) are recorded under R&amp;D services.</t>
  </si>
  <si>
    <t>3_1_3_4</t>
  </si>
  <si>
    <t>Charges for the use of R&amp;D outcomes are classified under charges for the use of intellectual property n.i.e.</t>
  </si>
  <si>
    <t>3_1_3_5</t>
  </si>
  <si>
    <t>FISIM (implicit financial services on loans and deposits) is distinguished from investment income and classified under financial services.</t>
  </si>
  <si>
    <t>3_1_3_6</t>
  </si>
  <si>
    <t>Changes related to migrants’ transfers are excluded from the BOP and recorded as other changes in volume in the integrated IIP for the relevant positions.</t>
  </si>
  <si>
    <t>3_1_3_7</t>
  </si>
  <si>
    <t>Long-term construction projects are classified under direct investment where applicable.</t>
  </si>
  <si>
    <t>3_1_3_8</t>
  </si>
  <si>
    <t>Acquisitions and disposals of natural resources are recorded in the capital account.</t>
  </si>
  <si>
    <t>3_1_3_9</t>
  </si>
  <si>
    <t>Acquisitions and disposals of contracts, leases, and licenses are recorded in the capital account.</t>
  </si>
  <si>
    <t>3_2_1_1</t>
  </si>
  <si>
    <t>Transactions and positions are valued at market prices, using appropriate proxies where market prices are not observable.</t>
  </si>
  <si>
    <t>3_2_1_2</t>
  </si>
  <si>
    <t>Monetary gold is valued at market prices.</t>
  </si>
  <si>
    <t>3_2_1_3</t>
  </si>
  <si>
    <t>Regularly traded financial instruments are valued using market price quotations.</t>
  </si>
  <si>
    <t>3_2_1_4</t>
  </si>
  <si>
    <t>Total imports and exports are valued on an FOB basis.</t>
  </si>
  <si>
    <t>3_2_1_5</t>
  </si>
  <si>
    <t>Appropriate proxy measures are developed and applied when actual market prices are not available.</t>
  </si>
  <si>
    <t>3_2_1_6</t>
  </si>
  <si>
    <t>Appropriate proxy measures are developed and applied for barter trade, transactions between affiliated enterprises, and gifts and grants.</t>
  </si>
  <si>
    <t>3_2_1_7</t>
  </si>
  <si>
    <t>Fair values are estimated to approximate market values for instruments that are not traded or are infrequently traded.</t>
  </si>
  <si>
    <t>3_2_1_8</t>
  </si>
  <si>
    <t>Loans are recorded at nominal value.</t>
  </si>
  <si>
    <t>3_2_1_9</t>
  </si>
  <si>
    <t>Deposits are recorded at nominal value.</t>
  </si>
  <si>
    <t>3_2_2_1</t>
  </si>
  <si>
    <t>General BPM principles for time of recording are applied.</t>
  </si>
  <si>
    <t>3_2_2_2</t>
  </si>
  <si>
    <t>Transactions are recorded on an accrual basis.</t>
  </si>
  <si>
    <t>3_2_2_3</t>
  </si>
  <si>
    <t>Transactions are recorded in accordance with the change of ownership principle.</t>
  </si>
  <si>
    <t>3_2_2_4</t>
  </si>
  <si>
    <t>General BPM principles for aggregation are applied.</t>
  </si>
  <si>
    <t>3_2_2_5</t>
  </si>
  <si>
    <t>General BPM principles for netting are applied.</t>
  </si>
  <si>
    <t>3_2_2_6</t>
  </si>
  <si>
    <t>Current and capital account transactions are recorded on a gross basis.</t>
  </si>
  <si>
    <t>3_2_2_7</t>
  </si>
  <si>
    <t>Financial account transactions are recorded on a net basis for each individual asset and liability component.</t>
  </si>
  <si>
    <t>3_3_1_1</t>
  </si>
  <si>
    <t>Investment income is obtained directly (e.g., through surveys) where feasible.</t>
  </si>
  <si>
    <t>3_3_1_2</t>
  </si>
  <si>
    <t>Direct investment relationships are identified using the Framework for Direct Investment Relationships (FDIR).</t>
  </si>
  <si>
    <t>3_3_1_3</t>
  </si>
  <si>
    <t>When IMTS are used, CIF-to-FOB adjustments are made to value imports on an FOB basis.</t>
  </si>
  <si>
    <t>3_3_1_4</t>
  </si>
  <si>
    <t>When IMTS are used, adjustments are made to include net exports of goods under merchanting.</t>
  </si>
  <si>
    <t>3_3_1_5</t>
  </si>
  <si>
    <t>When IMTS are used, adjustments are made for goods for processing.</t>
  </si>
  <si>
    <t>3_3_1_6</t>
  </si>
  <si>
    <t>When IMTS are used, adjustments are made to include goods procured in ports by carriers.</t>
  </si>
  <si>
    <t>3_3_1_7</t>
  </si>
  <si>
    <t>When IMTS are used, adjustments are made to include fish catch, seabed minerals, and salvage sold from resident-operated vessels.</t>
  </si>
  <si>
    <t>3_3_1_8</t>
  </si>
  <si>
    <t>When IMTS are used, adjustments are made to remove goods imported for construction projects by nonresident enterprises.</t>
  </si>
  <si>
    <t>3_3_1_9</t>
  </si>
  <si>
    <t>When IMTS are used, adjustments are made to remove goods sent for repair or storage without a change of ownership.</t>
  </si>
  <si>
    <t>3_4_1_1</t>
  </si>
  <si>
    <t>BPM institutional sector classification is used in compiling BOP and IIP statistics.</t>
  </si>
  <si>
    <t>3_4_1_2</t>
  </si>
  <si>
    <t>Primary income, the financial account, and the IIP are classified according to BPM functional categories.</t>
  </si>
  <si>
    <t>3_4_1_3</t>
  </si>
  <si>
    <t>BPM classification of financial assets and liabilities by instrument is used in compiling BOP and IIP statistics.</t>
  </si>
  <si>
    <t>3_4_1_4</t>
  </si>
  <si>
    <t>BPM service classification is used in compiling BOP statistics.</t>
  </si>
  <si>
    <t>3_4_1_5</t>
  </si>
  <si>
    <t>A full integrated IIP statement is available and published.</t>
  </si>
  <si>
    <t>3_4_1_6</t>
  </si>
  <si>
    <t>Relevant items of the International Reserves and Foreign Currency Liquidity Template are available and published to support calculation of net international reserves.</t>
  </si>
  <si>
    <t>3_4_1_7</t>
  </si>
  <si>
    <t>Separate data are available and published for telecommunications services and computer and information services.</t>
  </si>
  <si>
    <t>3_4_1_8</t>
  </si>
  <si>
    <t>Separate data are available and published for R&amp;D services, professional and management consulting services, nonfinancial intermediation services, operating leasing services, and technical, environmental, and other business services.</t>
  </si>
  <si>
    <t>3_4_1_9</t>
  </si>
  <si>
    <t>Separate financial data are available and published for nonfinancial corporations and for households and NPISH.</t>
  </si>
  <si>
    <t>3_5_1_1</t>
  </si>
  <si>
    <t>BOP standard components and memorandum items are compiled and disseminated.</t>
  </si>
  <si>
    <t>3_5_2_1</t>
  </si>
  <si>
    <t>IIP standard components and memorandum items are compiled and disseminated.</t>
  </si>
  <si>
    <t>3_5_3_1</t>
  </si>
  <si>
    <t>Estimates of reserve-related liabilities are produced.</t>
  </si>
  <si>
    <t>3_5_4_1</t>
  </si>
  <si>
    <t>Currency composition of assets and liabilities by institutional sector is compiled and disseminated.</t>
  </si>
  <si>
    <t>3_5_5_1</t>
  </si>
  <si>
    <t>Nonperforming loans are separately identified in the IIP.</t>
  </si>
  <si>
    <t>3_5_5_2</t>
  </si>
  <si>
    <t>Supplementary BOP items on direct investment by instrument, maturity, and institutional sector are compiled and disseminated.</t>
  </si>
  <si>
    <t>3_5_5_3</t>
  </si>
  <si>
    <t>Supplementary IIP items on direct investment by instrument, maturity, and institutional sector are compiled and disseminated.</t>
  </si>
  <si>
    <t>3_5_5_4</t>
  </si>
  <si>
    <t>Supplementary BOP items on direct investment involving resident SPEs are compiled and disseminated.</t>
  </si>
  <si>
    <t>3_5_5_5</t>
  </si>
  <si>
    <t>Supplementary IIP items on direct investment involving resident SPEs are compiled and disseminated.</t>
  </si>
  <si>
    <t>3_5_5_6</t>
  </si>
  <si>
    <t>Supplementary BOP items on direct investment in the reporting economy and direct investment abroad are compiled and disseminated.</t>
  </si>
  <si>
    <t>3_5_5_7</t>
  </si>
  <si>
    <t>Supplementary IIP items on direct investment in the reporting economy and direct investment abroad are compiled and disseminated.</t>
  </si>
  <si>
    <t>3_5_5_8</t>
  </si>
  <si>
    <t>Supplementary BOP items on real estate investment are compiled and disseminated.</t>
  </si>
  <si>
    <t>3_5_5_9</t>
  </si>
  <si>
    <t>Supplementary IIP items on real estate investment are compiled and disseminated.</t>
  </si>
  <si>
    <t>A comprehensive and up-to-date register is used as the basis for enterprise or establishment sample surveys.</t>
  </si>
  <si>
    <t>Factoryless goods producers are identified in the business register.</t>
  </si>
  <si>
    <t>Special purpose entities are identified in the business register.</t>
  </si>
  <si>
    <t>Affiliates of foreign multinational enterprises are identified in the business register.</t>
  </si>
  <si>
    <t>Register maintenance procedures are adequate (e.g., adding new units, deleting inactive units, and tracking mergers and reorganizations).</t>
  </si>
  <si>
    <t>Where a business register is not available, a comprehensive and up-to-date sampling frame (e.g., census list with new registrations) is available.</t>
  </si>
  <si>
    <t>When ITRS is used, coverage of reporting banks is integrated with the bank register maintained by bank supervisory authorities.</t>
  </si>
  <si>
    <t>When ITRS is used, sufficiently detailed information is available for both transactions via banking accounts and transactions in cash.</t>
  </si>
  <si>
    <t>When ITRS is used, reporting instructions request explanations for transactions above the reporting threshold.</t>
  </si>
  <si>
    <t>Source data concepts are consistent with balance of payments and IIP concepts.</t>
  </si>
  <si>
    <t>Geographic and institutional coverage of source data is consistent with balance of payments and IIP requirements.</t>
  </si>
  <si>
    <t>Source data classifications can be readily aligned to balance of payments and IIP classifications.</t>
  </si>
  <si>
    <t>Source data are consistent with the valuation principles of the balance of payments and IIP.</t>
  </si>
  <si>
    <t>Source data are consistent with the recording principles of the balance of payments and IIP.</t>
  </si>
  <si>
    <t>Source data are consistent with the reference period of the balance of payments and IIP.</t>
  </si>
  <si>
    <t>Administrative records used for compiling balance of payments and IIP provide reasonable approximations of methodological requirements.</t>
  </si>
  <si>
    <t>Source data collection and processing timetables are adequate to meet balance of payments and IIP timeliness and periodicity dissemination standards.</t>
  </si>
  <si>
    <t>Respondents are made aware of the reporting deadlines for their data submissions.</t>
  </si>
  <si>
    <t>Household source data are available at a defined frequency.</t>
  </si>
  <si>
    <t>Household surveys are based on an up-to-date register or a current area sample frame.</t>
  </si>
  <si>
    <t>The household survey framework supports supplementary collections for irregular but useful data to extend the main compilation.</t>
  </si>
  <si>
    <t>Residential unit coverage is comprehensive, with any exclusions justified and not affecting representativeness.</t>
  </si>
  <si>
    <t>Geographic coverage of household surveys is comprehensive, with any exclusions clearly identified and justified to preserve representativeness.</t>
  </si>
  <si>
    <t>Household survey questionnaires follow sound design principles (e.g., pilot testing and observation studies), are reviewed periodically, and are pretested before implementation.</t>
  </si>
  <si>
    <t>Household survey instruments support efficient data capture and processing while minimizing nonsampling errors.</t>
  </si>
  <si>
    <t>Central government finance source data are available at a defined frequency.</t>
  </si>
  <si>
    <t>State government finance source data are available at a defined frequency.</t>
  </si>
  <si>
    <t>Local government finance source data are available at a defined frequency.</t>
  </si>
  <si>
    <t>Financial public corporations source data are available at a defined frequency.</t>
  </si>
  <si>
    <t>Non-financial public corporations source data are available at a defined frequency.</t>
  </si>
  <si>
    <t>Government finance source data concepts are consistent with balance of payments and IIP concepts.</t>
  </si>
  <si>
    <t>Geographic and institutional coverage of government finance source data is consistent with balance of payments and IIP requirements.</t>
  </si>
  <si>
    <t>Government finance source data classifications can be readily aligned to balance of payments and IIP classifications.</t>
  </si>
  <si>
    <t>Government finance source data valuation principles are consistent with balance of payments and IIP valuation principles.</t>
  </si>
  <si>
    <t>Non-financial corporation source data are available at a defined frequency.</t>
  </si>
  <si>
    <t>Detailed source data are available to measure cross-border transactions, other economic flows, and stocks of financial assets and liabilities for the non-financial corporations sector.</t>
  </si>
  <si>
    <t>Non-financial corporation source data concepts are consistent with balance of payments and IIP concepts.</t>
  </si>
  <si>
    <t>Geographic and institutional coverage of non-financial corporation source data is consistent with balance of payments and IIP requirements.</t>
  </si>
  <si>
    <t>Non-financial corporation source data classifications can be readily aligned to balance of payments and IIP classifications.</t>
  </si>
  <si>
    <t>Non-financial corporation source data valuation principles are consistent with balance of payments and IIP valuation principles.</t>
  </si>
  <si>
    <t>Non-financial corporation source data recording principles are consistent with balance of payments and IIP recording principles.</t>
  </si>
  <si>
    <t>Non-financial corporation source data reference period is consistent with the reference period of the balance of payments and IIP.</t>
  </si>
  <si>
    <t>Non-financial corporation source data collection and processing timetables are adequate to meet balance of payments and IIP timeliness and periodicity dissemination standards.</t>
  </si>
  <si>
    <t>Financial corporation source data are available at a defined frequency.</t>
  </si>
  <si>
    <t>Financial corporation source data are available to measure cross-border transactions, other economic flows, and stocks of financial assets and liabilities for the financial corporations sector.</t>
  </si>
  <si>
    <t>Financial corporation source data concepts are consistent with balance of payments and IIP concepts.</t>
  </si>
  <si>
    <t>Geographic and institutional coverage of financial corporation source data is consistent with balance of payments and IIP requirements.</t>
  </si>
  <si>
    <t>Financial corporation source data classifications can be readily aligned to balance of payments and IIP classifications.</t>
  </si>
  <si>
    <t>Financial corporation source data valuation principles are consistent with balance of payments and IIP valuation principles.</t>
  </si>
  <si>
    <t>Financial corporation source data recording principles are consistent with balance of payments and IIP recording principles.</t>
  </si>
  <si>
    <t>Financial corporation source data reference period is consistent with the reference period of the balance of payments and IIP.</t>
  </si>
  <si>
    <t>Financial corporation source data collection and processing timetables are adequate to meet balance of payments and IIP timeliness and periodicity dissemination standards.</t>
  </si>
  <si>
    <t>Monthly or quarterly enterprise/establishment data provide an adequate basis for compiling monthly or quarterly balance of payments and IIP statistics.</t>
  </si>
  <si>
    <t>Monthly or quarterly household data provide an adequate basis for compiling monthly or quarterly balance of payments and IIP statistics.</t>
  </si>
  <si>
    <t>Monthly or quarterly financial corporation data provide an adequate basis for compiling monthly or quarterly balance of payments and IIP statistics.</t>
  </si>
  <si>
    <t>Monthly or quarterly non-financial corporation data provide an adequate basis for compiling quarterly balance of payments and IIP statistics.</t>
  </si>
  <si>
    <t>Monthly or quarterly general government data provide an adequate basis for compiling monthly or quarterly balance of payments and IIP statistics.</t>
  </si>
  <si>
    <t>Periodic meetings are held with the business community to solicit cooperation in enterprise data collection and to identify new developments relevant to balance of payments and IIP compilation.</t>
  </si>
  <si>
    <t>The press and research publications are monitored to identify activities relevant to balance of payments and IIP compilation.</t>
  </si>
  <si>
    <t>International standards, guidelines, and practices are monitored regularly for changes that should be reflected in balance of payments and IIP compilation.</t>
  </si>
  <si>
    <t>The compiling agency consults with source agencies to identify changes in administrative processes that may affect the statistics.</t>
  </si>
  <si>
    <t>Data sources are kept under continuous review to ensure the data collection program remains comprehensive.</t>
  </si>
  <si>
    <t>Ad-hoc surveys are conducted when needed to supplement regular surveys for balance of payments and IIP compilation.</t>
  </si>
  <si>
    <t>Information on sampling errors for each survey is monitored regularly.</t>
  </si>
  <si>
    <t>Information on nonsampling errors (e.g., operational issues, biases, coverage problems, misclassification, mismeasurement, processing errors, and nonresponse) is monitored.</t>
  </si>
  <si>
    <t>The effects of questionnaire changes on survey estimates are assessed.</t>
  </si>
  <si>
    <t>Source data are analyzed in the context of revisions, and material changes from up-to-date data are incorporated into the BOP and IIP in accordance with the revision cycle.</t>
  </si>
  <si>
    <t>Procedures identify outliers and atypical changes in periodic responses by individual units; extreme values are confirmed with respondents and documented.</t>
  </si>
  <si>
    <t>Source data are analyzed for underreporting and misreporting, including checks for temporal consistency and consistency with related data sources.</t>
  </si>
  <si>
    <t>Information on key nonsampling errors (under-coverage, misclassification, processing errors, and nonresponse) is monitored.</t>
  </si>
  <si>
    <t>When ITRS is used, the completeness of closed-type reporting by banks is assessed.</t>
  </si>
  <si>
    <t>When ITRS is used, the equality between debit and credit entries for non-BOP transactions is monitored.</t>
  </si>
  <si>
    <t>Compilation procedures minimize processing errors (e.g., coding, editing, and tabulation errors).</t>
  </si>
  <si>
    <t>Adjustments to unit records are made only when clearly warranted and are identifiable in the datasets.</t>
  </si>
  <si>
    <t>Imputation and nonresponse adjustment procedures are soundly based.</t>
  </si>
  <si>
    <t>Ancillary and benchmark information is used appropriately in compiling estimates.</t>
  </si>
  <si>
    <t>Appropriate remedial measures are undertaken when nonsampling errors become large.</t>
  </si>
  <si>
    <t>Sound estimation techniques are used to adjust data for missing observations in statistical collections.</t>
  </si>
  <si>
    <t>Adjustments for undercoverage and/or out-of-scope units follow appropriate guidelines, using scientifically derived grossing-up factors.</t>
  </si>
  <si>
    <t>When ITRS is used, uncoded ITRS data are attributed to BOP components using sound statistical techniques.</t>
  </si>
  <si>
    <t>When ITRS is used, corrective measures are taken when uncoded transactions below the threshold become too large or show debit/credit inequality.</t>
  </si>
  <si>
    <t>Data from government departments on withholding taxes are used to assess the accuracy of income transactions.</t>
  </si>
  <si>
    <t>Financial press information is used to verify high-value direct investment and other transactions.</t>
  </si>
  <si>
    <t>Investment income credits and debits are assessed regularly in relation to the corresponding IIP data.</t>
  </si>
  <si>
    <t>Freight earnings data are assessed regularly in relation to the value and volume of trade flows.</t>
  </si>
  <si>
    <t>Travel-related transactions are analyzed in relation to customs and immigration traveler data.</t>
  </si>
  <si>
    <t>Financial flow data are reconciled with stock data for external debt and all elements of the integrated IIP.</t>
  </si>
  <si>
    <t>When ITRS is used, discrepancies between merchandise trade and associated financial flows from the ITRS are reviewed.</t>
  </si>
  <si>
    <t>Balance of payments and IIP aggregates are reconciled with national accounts aggregates.</t>
  </si>
  <si>
    <t>Balance of payments and IIP aggregates are reconciled with government finance statistics aggregates.</t>
  </si>
  <si>
    <t>Staff monitor developments in net errors and omissions (statistical discrepancy) and investigate them (e.g., by cross-checking current, capital, and financial account entries).</t>
  </si>
  <si>
    <t>Bilateral reconciliations are conducted with selected partner economies for trade and financial items, and large differences are investigated.</t>
  </si>
  <si>
    <t>Differences in concepts and compilation methods are identified and taken into account in cross-country comparisons.</t>
  </si>
  <si>
    <t>External debt transactions and positions are compared with BIS–IMF–OECD–WB datasets and/or BIS locational banking statistics.</t>
  </si>
  <si>
    <t>Revision studies are conducted to assess initial estimates against final estimates, including frequency, direction, and magnitude of revisions.</t>
  </si>
  <si>
    <t>Long-term trends in revision patterns are analyzed to identify systematically biased series.</t>
  </si>
  <si>
    <t>Sources of errors, omissions, and fluctuations in the data are investigated.</t>
  </si>
  <si>
    <t>Findings from revision studies are used to define an optimal revision cycle.</t>
  </si>
  <si>
    <t>Findings from revision studies are used to refine preliminary data and inform future data collection.</t>
  </si>
  <si>
    <t>Time series of revisions are examined to identify long-term trends and to make appropriate adjustments to initial estimates.</t>
  </si>
  <si>
    <t>Documentation on revisions is maintained, including causes, data sources, and adjustment methods.</t>
  </si>
  <si>
    <t>The program’s statistics are internally consistent (e.g., small and unbiased statistical discrepancies, and reconciled subnational/regional and national estimates where applicable).</t>
  </si>
  <si>
    <t>Quarterly concepts and classifications are consistent with annual concepts and classifications.</t>
  </si>
  <si>
    <t>Quarterly flows sum to values that reasonably approximate the corresponding annual statistics.</t>
  </si>
  <si>
    <t>Over long periods, statistical discrepancies remain relatively low.</t>
  </si>
  <si>
    <t>Flow data are reconcilable with changes in corresponding stock positions, and a reconciliation table (transactions, holding gains/losses, and other volume changes) is compiled and disseminated regularly.</t>
  </si>
  <si>
    <t>Consistent time series are available for at least 10 years.</t>
  </si>
  <si>
    <t>When source data, methods, or statistical techniques change, historical series are reconstructed as far back as reasonably possible.</t>
  </si>
  <si>
    <t>Unusual changes, breaks, and discontinuities are explained in analytical text or metadata and adjustments are made where appropriate to maintain time-series consistency.</t>
  </si>
  <si>
    <t>The program’s statistics are largely consistent or reconcilable with comparable national accounts statistics.</t>
  </si>
  <si>
    <t>Data are exchanged with the national accounts program prior to release to support compilation and/or ensure consistency.</t>
  </si>
  <si>
    <t>The program’s statistics are largely consistent or reconcilable with comparable government finance statistics.</t>
  </si>
  <si>
    <t>Data are exchanged with the government finance statistics program prior to release to support compilation and/or ensure consistency.</t>
  </si>
  <si>
    <t>The program’s statistics are largely consistent or reconcilable with comparable monetary and financial statistics.</t>
  </si>
  <si>
    <t>Data are exchanged with the monetary and financial statistics program prior to release to support compilation and/or ensure consistency.</t>
  </si>
  <si>
    <t>The program shares its data with other macroeconomic statistics programs and permits them to use the data as direct inputs into their production processes.</t>
  </si>
  <si>
    <t>1_10_1_1</t>
  </si>
  <si>
    <t>The relevance and practical utility of existing statistics for meeting user needs are monitored and documented.</t>
  </si>
  <si>
    <t>1_10_1_2</t>
  </si>
  <si>
    <t>Data users are consulted regularly (e.g., surveys, newsletters, seminars) regarding the detail, periodicity, and timeliness of published statistics.</t>
  </si>
  <si>
    <t>1_10_1_3</t>
  </si>
  <si>
    <t>A Statistical Council (or equivalent) exists with broad representation of user communities and advises the statistical organization on strategic issues and user needs.</t>
  </si>
  <si>
    <t>1_10_1_4</t>
  </si>
  <si>
    <t>Mechanisms are in place to identify new and emerging data requirements.</t>
  </si>
  <si>
    <t>1_10_1_5</t>
  </si>
  <si>
    <t>Structured, periodic consultations are conducted with policy departments, academia, media, and private sector representatives to review existing statistics and identify emerging needs.</t>
  </si>
  <si>
    <t>1_10_1_6</t>
  </si>
  <si>
    <t>The agency participates in international and regional seminars and professional events to remain current on developments and identify emerging data requirements.</t>
  </si>
  <si>
    <t>1_10_1_7</t>
  </si>
  <si>
    <t>The agency undertakes studies or research projects to identify and address new data requirements.</t>
  </si>
  <si>
    <t>1_1_1_10</t>
  </si>
  <si>
    <t>The Fundamental Principle of Official Statistics—Sources of Official Statistics—is embedded in the statistical law or other relevant law.</t>
  </si>
  <si>
    <t>1_11_1_1</t>
  </si>
  <si>
    <t>Managers promote a shared concern for quality across the organization and demonstrate sensitivity to all dimensions of data quality.</t>
  </si>
  <si>
    <t>1_1_1_11</t>
  </si>
  <si>
    <t>The Fundamental Principle of Official Statistics—Confidentiality—is embedded in the statistical law or other relevant law.</t>
  </si>
  <si>
    <t>1_11_1_2</t>
  </si>
  <si>
    <t>Staff training programs emphasize the importance of quality and clarify how quality can be achieved.</t>
  </si>
  <si>
    <t>1_1_1_12</t>
  </si>
  <si>
    <t>The Fundamental Principle of Official Statistics—Legislation—is embedded in the statistical law or other relevant law.</t>
  </si>
  <si>
    <t>1_11_1_3</t>
  </si>
  <si>
    <t>Externally recognized quality management processes and frameworks (e.g., GSBPM, GSIM, ISO standards, or equivalent) are implemented and adapted as needed.</t>
  </si>
  <si>
    <t>1_1_1_13</t>
  </si>
  <si>
    <t>The Fundamental Principle of Official Statistics—National Coordination—is embedded in the statistical law or other relevant law.</t>
  </si>
  <si>
    <t>1_11_1_4</t>
  </si>
  <si>
    <t>Information on quality commitment, including relevant trade-offs, is communicated regularly to staff.</t>
  </si>
  <si>
    <t>1_1_1_14</t>
  </si>
  <si>
    <t>The Fundamental Principle of Official Statistics—Use of International Standards—is embedded in the statistical law or other relevant law.</t>
  </si>
  <si>
    <t>1_11_1_5</t>
  </si>
  <si>
    <t>Systematic processes are in place to monitor and review quality.</t>
  </si>
  <si>
    <t>1_1_1_15</t>
  </si>
  <si>
    <t>The Fundamental Principle of Official Statistics—International Cooperation—is embedded in the statistical law or other relevant law.</t>
  </si>
  <si>
    <t>1_11_1_6</t>
  </si>
  <si>
    <t>Monitoring processes (e.g., response rates, editing rates, revision history) are in place to inform managers about current quality levels of ongoing statistical activities.</t>
  </si>
  <si>
    <t>1_11_1_7</t>
  </si>
  <si>
    <t>Compiling areas have access to expert guidance (internal or external) to improve data production processes and strengthen quality.</t>
  </si>
  <si>
    <t>1_11_1_8</t>
  </si>
  <si>
    <t>Periodic reviews are conducted to identify actions needed to maintain or improve data quality, particularly for core statistical outputs.</t>
  </si>
  <si>
    <t>1_3_1_10</t>
  </si>
  <si>
    <t>Data exchange agreements (e.g., MOUs) are established with land registry authorities.</t>
  </si>
  <si>
    <t>1_3_1_11</t>
  </si>
  <si>
    <t>The date of the most recent data sharing agreement with land registry authorities is documented.</t>
  </si>
  <si>
    <t>1_3_1_12</t>
  </si>
  <si>
    <t>Data exchange agreements (e.g., MOUs) are established with relevant private sector entities, where needed for statistical purposes.</t>
  </si>
  <si>
    <t>1_3_1_13</t>
  </si>
  <si>
    <t>The date of the most recent data sharing agreement with private sector entities is documented.</t>
  </si>
  <si>
    <t>1_3_1_14</t>
  </si>
  <si>
    <t>Data exchange agreements (e.g., MOUs) are established with the Monetary Union, where relevant.</t>
  </si>
  <si>
    <t>1_3_1_15</t>
  </si>
  <si>
    <t>The date of the most recent data sharing agreement with the Monetary Union is documented.</t>
  </si>
  <si>
    <t>1_3_1_16</t>
  </si>
  <si>
    <t>A policy, law, or established tradition designates a focal point (e.g., the NSO) for international cooperation and reporting obligations, and this body coordinates international data transmissions.</t>
  </si>
  <si>
    <t>1_3_1_17</t>
  </si>
  <si>
    <t>The agency seeks external expert assistance when needed to evaluate and strengthen statistical methodologies and systems.</t>
  </si>
  <si>
    <t>1_6_1_10</t>
  </si>
  <si>
    <t>The responsible agency has an adequate number of data collection and processing staff to manage new data sources and advanced analytics.</t>
  </si>
  <si>
    <t>1_6_1_11</t>
  </si>
  <si>
    <t>The responsible agency has an adequate number of IT professionals to maintain systems, develop software, and ensure cybersecurity.</t>
  </si>
  <si>
    <t>1_6_1_12</t>
  </si>
  <si>
    <t>The responsible agency has sufficient financial sector experts, where needed, to compile specialized financial statistics.</t>
  </si>
  <si>
    <t>1_6_1_13</t>
  </si>
  <si>
    <t>The management team is sufficient in number and expertise to guide strategy, oversee operations, and manage cross-cutting issues.</t>
  </si>
  <si>
    <t>1_6_1_14</t>
  </si>
  <si>
    <t>A core staff is maintained with adequate training to preserve institutional knowledge and ensure continuity.</t>
  </si>
  <si>
    <t>1_6_1_15</t>
  </si>
  <si>
    <t>Staff turnover is maintained at a manageable level to preserve institutional knowledge and continuity.</t>
  </si>
  <si>
    <t>1_6_1_16</t>
  </si>
  <si>
    <t>Salary levels are adequate to recruit and retain skilled staff and are comparable to general public administration standards in the country.</t>
  </si>
  <si>
    <t>1_6_1_17</t>
  </si>
  <si>
    <t>Workplace programs are in place to support staff training, professional development, and career advancement.</t>
  </si>
  <si>
    <t>1_6_1_18</t>
  </si>
  <si>
    <t>The number of staff working in the National Accounts statistical program is documented.</t>
  </si>
  <si>
    <t>1_6_1_19</t>
  </si>
  <si>
    <t>The number of staff working in the Balance of Payments / International Investment Position statistical program is documented.</t>
  </si>
  <si>
    <t>1_6_1_20</t>
  </si>
  <si>
    <t>The number of staff working in the Government Finance Statistics statistical program is documented.</t>
  </si>
  <si>
    <t>1_6_1_21</t>
  </si>
  <si>
    <t>The number of staff working in the Monetary and Financial statistical program is documented.</t>
  </si>
  <si>
    <t>1_6_1_22</t>
  </si>
  <si>
    <t>The number of staff working in the Public Sector Debt Statistics statistical program is documented.</t>
  </si>
  <si>
    <t>1_6_1_23</t>
  </si>
  <si>
    <t>The number of staff working in the Consumer Prices statistical program is documented.</t>
  </si>
  <si>
    <t>1_6_1_24</t>
  </si>
  <si>
    <t>The number of staff working in the Producer Prices statistical program is documented.</t>
  </si>
  <si>
    <t>1_9_1_10</t>
  </si>
  <si>
    <t>Information technology is used effectively to increase efficiency through automation, online data collection, and integrated databases where feasible.</t>
  </si>
  <si>
    <t>1_9_1_11</t>
  </si>
  <si>
    <t>Standardization, integration, and automation of production and dissemination are pursued to reduce costs and optimize operations.</t>
  </si>
  <si>
    <t>1_9_1_12</t>
  </si>
  <si>
    <t>Indicators on resource usage (e.g., staff utilization and financial spending) are regularly monitored and reported to management.</t>
  </si>
  <si>
    <t>1_9_1_13</t>
  </si>
  <si>
    <t>Human resource use is evaluated annually based on established guidelines covering allocation, performance, and training needs.</t>
  </si>
  <si>
    <t>1_9_1_14</t>
  </si>
  <si>
    <t>Staff opinion and satisfaction surveys are conducted regularly and management acts on the feedback.</t>
  </si>
  <si>
    <t>1_9_1_15</t>
  </si>
  <si>
    <t>Funding is reasonably secure and stable year-over-year to meet identified needs of the statistical program.</t>
  </si>
  <si>
    <t>3_1_2_10</t>
  </si>
  <si>
    <t>Leases and other transferable contracts are covered in the BOP.</t>
  </si>
  <si>
    <t>3_1_2_11</t>
  </si>
  <si>
    <t>Reinvested earnings are covered in the BOP.</t>
  </si>
  <si>
    <t>3_1_2_12</t>
  </si>
  <si>
    <t>Intercompany lending is covered in the BOP.</t>
  </si>
  <si>
    <t>3_1_2_13</t>
  </si>
  <si>
    <t>Portfolio investment of the private sector is covered in the BOP.</t>
  </si>
  <si>
    <t>3_1_2_14</t>
  </si>
  <si>
    <t>Trade credit is covered in the BOP.</t>
  </si>
  <si>
    <t>3_1_2_15</t>
  </si>
  <si>
    <t>Short-term debt transactions are covered in the BOP.</t>
  </si>
  <si>
    <t>3_1_2_16</t>
  </si>
  <si>
    <t>When a debt instrument goes into arrears, accrued interest continues to be recorded in accordance with BPM guidance.</t>
  </si>
  <si>
    <t>3_1_2_17</t>
  </si>
  <si>
    <t>Noncash transactions are covered in the BOP.</t>
  </si>
  <si>
    <t>3_1_2_18</t>
  </si>
  <si>
    <t>The IIP covers all relevant external positions.</t>
  </si>
  <si>
    <t>3_1_2_19</t>
  </si>
  <si>
    <t>Crypto-assets without a corresponding liability designed to act as a medium of exchange (e.g., Bitcoin) are covered in the BOP/IIP framework as applicable.</t>
  </si>
  <si>
    <t>3_1_3_10</t>
  </si>
  <si>
    <t>Acquisitions and disposals of marketing assets (and purchased goodwill) are recorded in the capital account.</t>
  </si>
  <si>
    <t>3_1_3_11</t>
  </si>
  <si>
    <t>Borrowing and lending between direct investors and direct investment enterprises—including debt securities and suppliers’ credits—are classified under direct investment, except for selected affiliated financial intermediaries.</t>
  </si>
  <si>
    <t>3_1_3_12</t>
  </si>
  <si>
    <t>The double-entry accounting system is applied in compiling the BOP statement, with any net residual recorded in net errors and omissions (statistical discrepancy).</t>
  </si>
  <si>
    <t>3_1_3_13</t>
  </si>
  <si>
    <t>Loan transactions and positions of the banking sector are classified separately from currency and deposits.</t>
  </si>
  <si>
    <t>3_1_3_14</t>
  </si>
  <si>
    <t>Interbank loan positions (other than securities and other accounts receivable/payable) are classified under deposits.</t>
  </si>
  <si>
    <t>3_1_3_15</t>
  </si>
  <si>
    <t>Short-term/long-term attribution for other investment transactions and positions is based on the original maturity of the instrument.</t>
  </si>
  <si>
    <t>3_1_3_16</t>
  </si>
  <si>
    <t>Direct investment transactions are defined using the 10 percent (or more) voting power threshold.</t>
  </si>
  <si>
    <t>3_1_3_17</t>
  </si>
  <si>
    <t>Reserve assets are defined based on monetary authorities’ effective control and availability for use.</t>
  </si>
  <si>
    <t>3_1_3_18</t>
  </si>
  <si>
    <t>Government-guaranteed external debt transactions are attributed to the institutional sector of the borrower.</t>
  </si>
  <si>
    <t>3_1_3_19</t>
  </si>
  <si>
    <t>Government-controlled enterprises that are public corporations are classified outside general government and included in the appropriate public enterprise sector (nonfinancial or financial corporations).</t>
  </si>
  <si>
    <t>3_1_3_20</t>
  </si>
  <si>
    <t>Crypto-assets without a corresponding liability designed as a medium of exchange (e.g., Bitcoin) are treated as nonproduced nonfinancial assets and presented as a separate category in the capital account.</t>
  </si>
  <si>
    <t>3_1_3_21</t>
  </si>
  <si>
    <t>Crypto-assets with a corresponding liability are treated as financial assets.</t>
  </si>
  <si>
    <t>3_1_3_22</t>
  </si>
  <si>
    <t>SPEs are identified using the internationally agreed definition.</t>
  </si>
  <si>
    <t>3_1_3_23</t>
  </si>
  <si>
    <t>Direct investment is compiled with a breakdown by institutional sector.</t>
  </si>
  <si>
    <t>3_1_3_24</t>
  </si>
  <si>
    <t>Net errors and omissions (statistical discrepancy) are derived as net lending/net borrowing from the financial account minus the same item from the current and capital account.</t>
  </si>
  <si>
    <t>3_1_3_25</t>
  </si>
  <si>
    <t>Payments for emissions permits are recorded as prepaid taxes on production (other accounts receivable/payable), with taxes recorded at surrender and valued at issuance prices.</t>
  </si>
  <si>
    <t>3_1_3_26</t>
  </si>
  <si>
    <t>Negative equity positions are treated in accordance with internationally agreed principles.</t>
  </si>
  <si>
    <t>3_1_3_27</t>
  </si>
  <si>
    <t>Distributions out of distributable income (current period and accumulated reinvested earnings from previous periods) are treated as dividends for direct investment.</t>
  </si>
  <si>
    <t>3_1_3_28</t>
  </si>
  <si>
    <t>Distributions beyond distributable income (current period and accumulated reinvested earnings from previous periods) are treated as withdrawals of equity for direct investment.</t>
  </si>
  <si>
    <t>3_1_3_29</t>
  </si>
  <si>
    <t>Factoryless goods production (FGP) recording practices are aligned with BPM7 methodology.</t>
  </si>
  <si>
    <t>3_1_3_30</t>
  </si>
  <si>
    <t>Superdividends are identified for equity investment other than direct investment.</t>
  </si>
  <si>
    <t>3_1_3_31</t>
  </si>
  <si>
    <t>Interbank positions are classified in the relevant instrument category, or as deposits where there is uncertainty between loan and deposit classification.</t>
  </si>
  <si>
    <t>3_1_3_32</t>
  </si>
  <si>
    <t>All standard components related to income are compiled and disseminated.</t>
  </si>
  <si>
    <t>3_1_3_33</t>
  </si>
  <si>
    <t>The BOP financial account separately records transactions in assets and transactions in liabilities.</t>
  </si>
  <si>
    <t>3_1_3_34</t>
  </si>
  <si>
    <t>Direct investment is presented on a gross assets and liabilities basis.</t>
  </si>
  <si>
    <t>3_1_3_35</t>
  </si>
  <si>
    <t>Direct investment data on the directional principle (inward and outward) are also compiled and available.</t>
  </si>
  <si>
    <t>3_1_3_36</t>
  </si>
  <si>
    <t>Goods and services transactions by government entities abroad are classified under government services n.i.e.</t>
  </si>
  <si>
    <t>3_1_3_37</t>
  </si>
  <si>
    <t>Manufacturing services on physical inputs owned by nonresidents (goods for processing) are recorded as services.</t>
  </si>
  <si>
    <t>3_2_1_10</t>
  </si>
  <si>
    <t>Other accounts receivable/payable are recorded at nominal value.</t>
  </si>
  <si>
    <t>3_2_1_11</t>
  </si>
  <si>
    <t>When transactions are derived from stock data, estimates are adjusted to exclude valuation changes and other non-transaction changes.</t>
  </si>
  <si>
    <t>3_2_1_12</t>
  </si>
  <si>
    <t>Foreign-currency transactions are converted using the midpoint market exchange rate prevailing at the time of the transaction.</t>
  </si>
  <si>
    <t>3_2_1_13</t>
  </si>
  <si>
    <t>When transactions are derived from stock data, stock positions are valued in original currencies where possible and converted to domestic currency using the average exchange rate for the period.</t>
  </si>
  <si>
    <t>3_2_1_14</t>
  </si>
  <si>
    <t>When multiple official exchange rates exist, appropriate adjustments are made to reflect actual transaction values.</t>
  </si>
  <si>
    <t>3_2_1_15</t>
  </si>
  <si>
    <t>Unlisted equity is valued using own funds at book value, recent transaction prices, or market capitalization proxies as appropriate.</t>
  </si>
  <si>
    <t>3_3_1_10</t>
  </si>
  <si>
    <t>When IMTS are used, adjustments are made to remove returned goods.</t>
  </si>
  <si>
    <t>3_3_1_11</t>
  </si>
  <si>
    <t>When IMTS are used, adjustments are made to properly record high-value capital goods where delivery timing differs from change of ownership.</t>
  </si>
  <si>
    <t>3_3_1_12</t>
  </si>
  <si>
    <t>When IMTS are used, adjustments are made to account for factoryless goods production.</t>
  </si>
  <si>
    <t>3_5_5_10</t>
  </si>
  <si>
    <t>Supplementary BOP items on pass-through funds are compiled and disseminated.</t>
  </si>
  <si>
    <t>3_5_5_11</t>
  </si>
  <si>
    <t>Supplementary IIP items on pass-through funds are compiled and disseminated.</t>
  </si>
  <si>
    <t>3_5_5_12</t>
  </si>
  <si>
    <t>Supplementary BOP items by kind of economic activity are compiled and disseminated.</t>
  </si>
  <si>
    <t>3_5_5_13</t>
  </si>
  <si>
    <t>Supplementary IIP items by kind of economic activity (industry) are compiled and disseminated.</t>
  </si>
  <si>
    <t>3_5_5_14</t>
  </si>
  <si>
    <t>Supplementary BOP items on mergers and acquisitions are compiled and disseminated.</t>
  </si>
  <si>
    <t>3_5_5_15</t>
  </si>
  <si>
    <t>Supplementary BOP items for the money-issuing sector are compiled and disseminated.</t>
  </si>
  <si>
    <t>3_5_5_16</t>
  </si>
  <si>
    <t>Supplementary IIP items for the money-issuing sector are compiled and disseminated.</t>
  </si>
  <si>
    <t>3_5_5_17</t>
  </si>
  <si>
    <t>Supplementary BOP items for financial account items of public corporations are compiled and disseminated.</t>
  </si>
  <si>
    <t>3_5_5_18</t>
  </si>
  <si>
    <t>Supplementary IIP items for financial account items of public corporations are compiled and disseminated.</t>
  </si>
  <si>
    <t>3_5_5_19</t>
  </si>
  <si>
    <t>Supplementary BOP items by partner economy are compiled and disseminated.</t>
  </si>
  <si>
    <t>3_5_5_20</t>
  </si>
  <si>
    <t>Supplementary IIP items by partner economy are compiled and disseminated.</t>
  </si>
  <si>
    <t>3_5_5_21</t>
  </si>
  <si>
    <t>Supplementary BOP items providing investment income detail consistent with the IIP are compiled and disseminated.</t>
  </si>
  <si>
    <t>3_5_5_22</t>
  </si>
  <si>
    <t>Supplementary BOP items on gross flows for financial account items are compiled and disseminated.</t>
  </si>
  <si>
    <t>3_5_5_23</t>
  </si>
  <si>
    <t>A reconciliation table between merchandise source data and goods on a BOP basis is compiled and disseminated.</t>
  </si>
  <si>
    <t>3_5_5_24</t>
  </si>
  <si>
    <t>Supplementary BOP items on gross insurance premiums earned and unadjusted insurance claims are compiled and disseminated.</t>
  </si>
  <si>
    <t>3_5_5_25</t>
  </si>
  <si>
    <t>Supplementary BOP items on transfers implied by loans at concessional interest are compiled and disseminated.</t>
  </si>
  <si>
    <t>3_5_5_26</t>
  </si>
  <si>
    <t>Supplementary BOP items on personal remittances are compiled and disseminated.</t>
  </si>
  <si>
    <t>3_5_5_27</t>
  </si>
  <si>
    <t>Supplementary BOP items on total remittances are compiled and disseminated.</t>
  </si>
  <si>
    <t>3_5_5_28</t>
  </si>
  <si>
    <t>Supplementary BOP items on total remittances and transfers to NPISH are compiled and disseminated.</t>
  </si>
  <si>
    <t>3_5_5_29</t>
  </si>
  <si>
    <t>Supplementary BOP items on insurance claims included in other capital transfers are compiled and disseminated.</t>
  </si>
  <si>
    <t>3_5_5_30</t>
  </si>
  <si>
    <t>Supplementary IIP items on currency composition of assets and liabilities by institutional sector are compiled and disseminated.</t>
  </si>
  <si>
    <t>3_5_5_31</t>
  </si>
  <si>
    <t>Supplementary IIP items on foreign currency assets of monetary authorities are compiled and disseminated.</t>
  </si>
  <si>
    <t>3_5_5_32</t>
  </si>
  <si>
    <t>Supplementary IIP items on foreign assets of special purpose government funds not included in reserve assets are compiled and disseminated.</t>
  </si>
  <si>
    <t>3_5_5_33</t>
  </si>
  <si>
    <t>Supplementary IIP items on pooled assets included in reserve assets are compiled and disseminated.</t>
  </si>
  <si>
    <t>3_5_5_34</t>
  </si>
  <si>
    <t>Supplementary IIP items on pledged assets excluded from reserve assets are compiled and disseminated.</t>
  </si>
  <si>
    <t>3_5_5_35</t>
  </si>
  <si>
    <t>Supplementary IIP items on debt securities at nominal values are compiled and disseminated.</t>
  </si>
  <si>
    <t>3_5_5_36</t>
  </si>
  <si>
    <t>Supplementary IIP items on remaining maturity splits for debt liabilities are compiled and disseminated.</t>
  </si>
  <si>
    <t>3_5_5_37</t>
  </si>
  <si>
    <t>Supplementary IIP items on the integrated IIP statement are compiled and disseminated.</t>
  </si>
  <si>
    <t>3_5_5_38</t>
  </si>
  <si>
    <t>Supplementary IIP items on contingent assets and liabilities are compiled and disseminated.</t>
  </si>
  <si>
    <t>3_5_5_39</t>
  </si>
  <si>
    <t>Supplementary “of which” items for cancellations and write-offs of debt and reclassifications are available and published.</t>
  </si>
  <si>
    <t>3_5_5_40</t>
  </si>
  <si>
    <t>Separate supplementary financial data are available and published for key financial subsectors (e.g., MMFs, non-MMFs, insurance corporations, pension funds, other financial intermediaries, captive financial institutions, money lenders, and financial auxiliaries).</t>
  </si>
  <si>
    <t>3_5_5_41</t>
  </si>
  <si>
    <t>Supplementary data are available and published separately for public nonfinancial corporations, national private nonfinancial corporations, and foreign-controlled nonfinancial corporations.</t>
  </si>
  <si>
    <t>3_5_5_42</t>
  </si>
  <si>
    <t>Supplementary data on financial derivatives are available and published with a breakdown by market risk category.</t>
  </si>
  <si>
    <t>3_5_5_43</t>
  </si>
  <si>
    <t>Supplementary data on financial derivatives are available and published with a breakdown by instrument.</t>
  </si>
  <si>
    <t>3_5_5_44</t>
  </si>
  <si>
    <t>Supplementary data on financial derivatives are available and published with a breakdown by trading venue and clearing status.</t>
  </si>
  <si>
    <t>3_5_5_45</t>
  </si>
  <si>
    <t>The intercompany lending component in debt securities at nominal value is available and published as a supplementary item.</t>
  </si>
  <si>
    <t>3_5_5_46</t>
  </si>
  <si>
    <t>Goods traded within a global manufacturing arrangement are separately identified and published as supplementary information.</t>
  </si>
  <si>
    <t>3_5_5_47</t>
  </si>
  <si>
    <t>Large and irregular payments from accumulated reserves to direct investors are available and published as supplementary information.</t>
  </si>
  <si>
    <t>3_5_5_48</t>
  </si>
  <si>
    <t>Reinvested earnings on portfolio investment are available and published as supplementary information.</t>
  </si>
  <si>
    <t>3_5_5_49</t>
  </si>
  <si>
    <t>Supplementary data on goods trade by enterprise characteristics are available and published.</t>
  </si>
  <si>
    <t>3_5_5_50</t>
  </si>
  <si>
    <t>Supplementary data on services trade by enterprise characteristics are available and published.</t>
  </si>
  <si>
    <t>3_5_5_51</t>
  </si>
  <si>
    <t>Supplementary data on income by enterprise characteristics are available and published.</t>
  </si>
  <si>
    <t>3_5_5_52</t>
  </si>
  <si>
    <t>Supplementary data identifying fintech companies within the subsector classification are available and published.</t>
  </si>
  <si>
    <t>3_5_5_53</t>
  </si>
  <si>
    <t>Supplementary data on fintech-related instruments are available and published.</t>
  </si>
  <si>
    <t>3_5_5_54</t>
  </si>
  <si>
    <t>Supplementary data on fintech-related services are available and published.</t>
  </si>
  <si>
    <t>3_5_5_55</t>
  </si>
  <si>
    <t>Supplementary data on goods trade by currency are available and published.</t>
  </si>
  <si>
    <t>3_5_5_56</t>
  </si>
  <si>
    <t>Supplementary data on services trade by currency are available and published.</t>
  </si>
  <si>
    <t>3_5_5_57</t>
  </si>
  <si>
    <t>Supplementary direct investment data for greenfield investment are available and published.</t>
  </si>
  <si>
    <t>3_5_5_58</t>
  </si>
  <si>
    <t>Supplementary direct investment data for extension of capacity are available and published.</t>
  </si>
  <si>
    <t>3_5_5_59</t>
  </si>
  <si>
    <t>Supplementary direct investment data by ultimate investing economy are available and published.</t>
  </si>
  <si>
    <t>3_5_5_60</t>
  </si>
  <si>
    <t>Supplementary direct investment data by ultimate host economy are available and published.</t>
  </si>
  <si>
    <t>3_5_5_61</t>
  </si>
  <si>
    <t>Supplementary direct investment data on pass-through funds are available and published.</t>
  </si>
  <si>
    <t>3_5_5_62</t>
  </si>
  <si>
    <t>Supplementary direct investment data on corporate inversions are available and published.</t>
  </si>
  <si>
    <t>3_5_5_63</t>
  </si>
  <si>
    <t>Supplementary BOP data for ESG and green financial instruments are available and published.</t>
  </si>
  <si>
    <t>3_5_5_64</t>
  </si>
  <si>
    <t>Supplementary IIP data for ESG and green financial instruments are available and published.</t>
  </si>
  <si>
    <t>When ITRS is used, reporting instructions emphasize minimizing the number and value of unclassified transactions.</t>
  </si>
  <si>
    <t>When ITRS is used, reporting instructions prohibit netting of BOP transactions.</t>
  </si>
  <si>
    <t>When ITRS is used, periodic sample surveys are conducted to classify low-value transactions below the threshold across BOP components.</t>
  </si>
  <si>
    <t>When ITRS is used, the reporting system structure for banks and enterprises is consistent with their accounting practices.</t>
  </si>
  <si>
    <t>When ITRS is used, report forms are easy to complete, suitable for computer processing, and pilot-tested.</t>
  </si>
  <si>
    <t>Sample design ensures the in-scope population is adequately represented and efficiently stratified (e.g., by industry or geography).</t>
  </si>
  <si>
    <t>Sample selection and estimation methods are reviewed regularly to ensure acceptable sampling error levels.</t>
  </si>
  <si>
    <t>Population benchmarks and survey weights used in estimation are reviewed and updated periodically.</t>
  </si>
  <si>
    <t>Survey questionnaires are constructed using sound design principles, including pilot testing and periodic review.</t>
  </si>
  <si>
    <t>Survey instruments are designed to support efficient data capture and processing while minimizing nonsampling errors.</t>
  </si>
  <si>
    <t>Benchmark collections and other framework information are gathered frequently enough to support an effective survey methodology.</t>
  </si>
  <si>
    <t>The survey framework supports supplementary data collections that provide irregular but useful balance of payments information.</t>
  </si>
  <si>
    <t>Rigorous follow-up procedures are used to ensure timely receipt of data.</t>
  </si>
  <si>
    <t>Government finance source data recording principles are consistent with balance of payments and IIP recording principles.</t>
  </si>
  <si>
    <t>Government finance source data reference period is consistent with the reference period of the balance of payments and IIP.</t>
  </si>
  <si>
    <t>Government finance source data collection and processing timetables are adequate to meet balance of payments and IIP timeliness and periodicity dissemination standards.</t>
  </si>
  <si>
    <t>Government finance respondents are made aware of the reporting deadlines for their data submissions.</t>
  </si>
  <si>
    <t>Rigorous follow-up procedures are used to ensure timely receipt of government finance data.</t>
  </si>
  <si>
    <t>Non-financial corporation respondents are made aware of the reporting deadlines for their data submissions.</t>
  </si>
  <si>
    <t>Rigorous follow-up procedures are used to ensure timely receipt of non-financial corporation data.</t>
  </si>
  <si>
    <t>Financial corporation respondents are made aware of the reporting deadlines for their data submissions.</t>
  </si>
  <si>
    <t>Rigorous follow-up procedures are used to ensure timely receipt of financial corporation data.</t>
  </si>
  <si>
    <t>When ITRS is used, transactions not of a BOP nature are analyzed to ensure they cancel out appropriately or are excluded.</t>
  </si>
  <si>
    <t>High-value transactions are confirmed with respondents.</t>
  </si>
  <si>
    <t>The accuracy of public sector external debt, international trade, and other source data used to compile BOP and IIP is routinely assessed.</t>
  </si>
  <si>
    <t>Discrepancies between quarterly and annual data are resolved through benchmarking procedures or indicators.</t>
  </si>
  <si>
    <t>The c.i.f./f.o.b. factor for valuing imports is estimated using a sample survey of transportation enterprises.</t>
  </si>
  <si>
    <t>Information from government departments is used to adjust income and service payment data to include withholding taxes deducted at source.</t>
  </si>
  <si>
    <t>Travel estimates and models are used to augment or verify data from ITRS, traveler surveys, and credit card data.</t>
  </si>
  <si>
    <t>When ITRS is used, traveler and tourist-provider surveys are used to augment or verify ITRS-based travel data.</t>
  </si>
  <si>
    <t>When ITRS is used, net ITRS telecommunications transactions are adjusted to a gross basis using data from a sample of telecommunications firms.</t>
  </si>
  <si>
    <t>Securities transactions in secondary markets are adjusted using information on average commission rates.</t>
  </si>
  <si>
    <t>Shuttle trade estimates are based on periodic surveys and extrapolated using customs and immigration data.</t>
  </si>
  <si>
    <t>Trade data are adjusted using partner-country import data to correct for export underestimation.</t>
  </si>
  <si>
    <t>Balance of payments and IIP aggregates are reconciled with monetary and financial statistics aggregates.</t>
  </si>
  <si>
    <t>Current Maturity (0-100)</t>
  </si>
  <si>
    <t>Target Maturity (0-100)</t>
  </si>
  <si>
    <t>S&amp;Cs Observed</t>
  </si>
  <si>
    <t>Total S&amp;C</t>
  </si>
  <si>
    <t>% Observed</t>
  </si>
  <si>
    <t>Fully Observed</t>
  </si>
  <si>
    <t>% Fully Observed</t>
  </si>
  <si>
    <t>IND_WEIGHT</t>
  </si>
  <si>
    <t>WEIGHTED_MATURITY</t>
  </si>
  <si>
    <t>WEIGHTED_MATURITY_TGT</t>
  </si>
  <si>
    <t>Element</t>
  </si>
  <si>
    <t>ELEM_WEIGHT</t>
  </si>
  <si>
    <t>WEIGHTED_ELEM_MATURITY</t>
  </si>
  <si>
    <t>WEIGHTED_ELEM_MATURITY_TGT</t>
  </si>
  <si>
    <t>Dimension</t>
  </si>
  <si>
    <t>Maturity Score</t>
  </si>
  <si>
    <t>Target Maturity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</si>
</sst>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
    <numFmt numFmtId="166" formatCode="0.0%"/>
    <numFmt numFmtId="167" formatCode="0.000"/>
  </numFmts>
  <fonts count="2" x14ac:knownFonts="1">
    <font>
      <sz val="11"/>
      <color theme="1"/>
      <name val="Calibri"/>
      <family val="2"/>
      <scheme val="minor"/>
    </font>
    <font>
      <b/>
      <sz val="11"/>
      <name val="Calibri"/>
    </font>
  </fonts>
  <fills count="7">
    <fill>
      <patternFill patternType="none"/>
    </fill>
    <fill>
      <patternFill patternType="gray125"/>
    </fill>
    <fill>
      <patternFill patternType="solid">
        <fgColor rgb="FFD9D9D9"/>
      </patternFill>
    </fill>
    <fill>
      <patternFill patternType="solid">
        <fgColor rgb="FFEFEFEF"/>
      </patternFill>
    </fill>
    <fill>
      <patternFill patternType="solid">
        <fgColor rgb="FFFFF2CC"/>
      </patternFill>
    </fill>
    <fill>
      <patternFill patternType="solid">
        <fgColor rgb="FFBDD7EE"/>
      </patternFill>
    </fill>
    <fill>
      <patternFill patternType="solid">
        <fgColor rgb="FFEDEDED"/>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xf numFmtId="0" fontId="0" fillId="0" borderId="1" xfId="0" applyBorder="1"/>
    <xf numFmtId="0" fontId="1" fillId="2" borderId="1" xfId="0" applyFont="1" applyFill="1" applyBorder="1" applyAlignment="1">
      <alignment horizontal="center" vertical="center" wrapText="1"/>
    </xf>
    <xf numFmtId="0" fontId="0" fillId="3" borderId="1" xfId="0" applyFill="1" applyBorder="1"/>
    <xf numFmtId="0" fontId="0" fillId="0" borderId="1" xfId="0" applyBorder="1" applyAlignment="1">
      <alignment vertical="center" wrapText="1"/>
    </xf>
    <xf numFmtId="164" fontId="0" fillId="0" borderId="1" xfId="0" applyNumberFormat="1" applyBorder="1"/>
    <xf numFmtId="165" fontId="0" fillId="0" borderId="1" xfId="0" applyNumberFormat="1" applyBorder="1" applyAlignment="1">
      <alignment vertical="center" wrapText="1"/>
    </xf>
    <xf numFmtId="1" fontId="0" fillId="0" borderId="1" xfId="0" applyNumberFormat="1" applyBorder="1" applyAlignment="1">
      <alignment vertical="center" wrapText="1"/>
    </xf>
    <xf numFmtId="166" fontId="0" fillId="0" borderId="1" xfId="0" applyNumberFormat="1" applyBorder="1" applyAlignment="1">
      <alignment vertical="center" wrapText="1"/>
    </xf>
    <xf numFmtId="167" fontId="0" fillId="0" borderId="0" xfId="0" applyNumberFormat="1"/>
    <xf numFmtId="0" fontId="0" fillId="0" borderId="1" xfId="0" applyBorder="1" applyAlignment="1">
      <alignment wrapText="1"/>
    </xf>
    <xf numFmtId="167" fontId="0" fillId="0" borderId="1" xfId="0" applyNumberFormat="1" applyBorder="1" applyAlignment="1">
      <alignment vertical="center" wrapText="1"/>
    </xf>
    <xf numFmtId="0" fontId="1" fillId="4" borderId="1" xfId="0" applyFont="1" applyFill="1" applyBorder="1" applyAlignment="1">
      <alignment horizontal="left" vertical="center" wrapText="1" indent="1"/>
    </xf>
    <xf numFmtId="0" fontId="0" fillId="0" borderId="1" xfId="0" applyBorder="1"/>
    <xf numFmtId="0" fontId="1" fillId="5" borderId="1" xfId="0" applyFont="1" applyFill="1" applyBorder="1" applyAlignment="1">
      <alignment horizontal="left" vertical="center" wrapText="1" indent="1"/>
    </xf>
    <xf numFmtId="164" fontId="1" fillId="5" borderId="1" xfId="0" applyNumberFormat="1" applyFont="1" applyFill="1" applyBorder="1" applyAlignment="1">
      <alignment horizontal="left" vertical="center" wrapText="1" indent="1"/>
    </xf>
    <xf numFmtId="0" fontId="0" fillId="0" borderId="1" xfId="0" applyBorder="1" applyAlignment="1" applyProtection="1">
      <alignment vertical="center" wrapText="1"/>
      <protection locked="0"/>
    </xf>
    <xf numFmtId="0" fontId="0" fillId="6" borderId="1" xfId="0" applyFill="1" applyBorder="1" applyAlignment="1" applyProtection="1">
      <alignment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applyStyles="1" summaryBelow="0"/>
  </sheetPr>
  <dimension ref="A1:AG170"/>
  <sheetViews>
    <sheetView tabSelected="1" topLeftCell="F1" zoomScaleNormal="100" workbookViewId="0">
      <pane ySplit="2" topLeftCell="A3" activePane="bottomLeft" state="frozen"/>
      <selection pane="bottomLeft" activeCell="F4" sqref="F4"/>
    </sheetView>
  </sheetViews>
  <sheetFormatPr defaultRowHeight="15" outlineLevelRow="1" x14ac:dyDescent="0.25"/>
  <cols>
    <col min="1" max="4" width="13" hidden="1" customWidth="1"/>
    <col min="5" max="5" width="12" hidden="1" customWidth="1"/>
    <col min="6" max="6" width="55" customWidth="1"/>
    <col min="7" max="7" width="13" hidden="1" customWidth="1"/>
    <col min="8" max="8" width="35" customWidth="1"/>
    <col min="9" max="9" width="3" customWidth="1"/>
    <col min="10" max="10" width="35" customWidth="1"/>
    <col min="11" max="12" width="50" customWidth="1"/>
    <col min="13" max="15" width="13" hidden="1" customWidth="1"/>
    <col min="17" max="33" width="13" hidden="1" customWidth="1"/>
  </cols>
  <sheetData>
    <row r="1" spans="1:33" ht="30" customHeight="1" x14ac:dyDescent="0.25">
      <c r="A1" s="12" t="s">
        <v>0</v>
      </c>
      <c r="B1" s="13"/>
      <c r="C1" s="13"/>
      <c r="D1" s="13"/>
      <c r="E1" s="13"/>
      <c r="F1" s="13"/>
      <c r="G1" s="13"/>
      <c r="H1" s="13"/>
      <c r="I1" s="13"/>
      <c r="J1" s="13"/>
      <c r="K1" s="1"/>
      <c r="L1" s="1"/>
      <c r="M1" s="1"/>
      <c r="N1" s="1"/>
      <c r="O1" s="1"/>
      <c r="P1" s="1"/>
      <c r="Q1" s="1"/>
      <c r="R1" s="1"/>
      <c r="S1" s="1" t="s">
        <v>1</v>
      </c>
      <c r="T1" s="1" t="s">
        <v>2</v>
      </c>
      <c r="U1" s="1" t="s">
        <v>3</v>
      </c>
      <c r="V1" s="1" t="s">
        <v>4</v>
      </c>
      <c r="W1" s="1" t="s">
        <v>5</v>
      </c>
      <c r="X1" s="1" t="s">
        <v>6</v>
      </c>
      <c r="Y1" s="1" t="s">
        <v>7</v>
      </c>
      <c r="Z1" s="1" t="s">
        <v>8</v>
      </c>
      <c r="AA1" s="1" t="s">
        <v>9</v>
      </c>
      <c r="AB1" s="1" t="s">
        <v>10</v>
      </c>
      <c r="AC1" s="1" t="s">
        <v>11</v>
      </c>
      <c r="AD1" s="1" t="s">
        <v>12</v>
      </c>
      <c r="AE1" s="1" t="s">
        <v>13</v>
      </c>
      <c r="AF1" s="1" t="s">
        <v>14</v>
      </c>
      <c r="AG1" s="1" t="s">
        <v>15</v>
      </c>
    </row>
    <row r="2" spans="1:33" ht="30" customHeight="1" x14ac:dyDescent="0.25">
      <c r="A2" s="2" t="s">
        <v>16</v>
      </c>
      <c r="B2" s="2" t="s">
        <v>17</v>
      </c>
      <c r="C2" s="2" t="s">
        <v>18</v>
      </c>
      <c r="D2" s="2" t="s">
        <v>19</v>
      </c>
      <c r="E2" s="2" t="s">
        <v>20</v>
      </c>
      <c r="F2" s="2" t="s">
        <v>21</v>
      </c>
      <c r="G2" s="2" t="s">
        <v>22</v>
      </c>
      <c r="H2" s="2" t="s">
        <v>23</v>
      </c>
      <c r="I2" s="3"/>
      <c r="J2" s="2" t="s">
        <v>24</v>
      </c>
      <c r="K2" s="2" t="s">
        <v>25</v>
      </c>
      <c r="L2" s="2" t="s">
        <v>26</v>
      </c>
      <c r="M2" s="2" t="s">
        <v>27</v>
      </c>
      <c r="N2" s="2" t="s">
        <v>28</v>
      </c>
      <c r="O2" s="2" t="s">
        <v>29</v>
      </c>
      <c r="P2" s="2" t="s">
        <v>30</v>
      </c>
      <c r="Q2" s="2" t="s">
        <v>31</v>
      </c>
      <c r="R2" s="2" t="s">
        <v>32</v>
      </c>
      <c r="S2" s="1"/>
      <c r="T2" s="1"/>
      <c r="U2" s="1"/>
      <c r="V2" s="1"/>
      <c r="W2" s="1"/>
      <c r="X2" s="1"/>
      <c r="Y2" s="1"/>
      <c r="Z2" s="1"/>
      <c r="AA2" s="1"/>
      <c r="AB2" s="1"/>
      <c r="AC2" s="1"/>
      <c r="AD2" s="1"/>
      <c r="AE2" s="1"/>
      <c r="AF2" s="1"/>
      <c r="AG2" s="1"/>
    </row>
    <row r="3" spans="1:33" ht="30" customHeight="1" x14ac:dyDescent="0.25">
      <c r="A3" s="1"/>
      <c r="B3" s="1"/>
      <c r="C3" s="1"/>
      <c r="D3" s="1"/>
      <c r="E3" s="1"/>
      <c r="F3" s="14" t="s">
        <v>33</v>
      </c>
      <c r="G3" s="15"/>
      <c r="H3" s="14"/>
      <c r="I3" s="14"/>
      <c r="J3" s="14"/>
      <c r="K3" s="14"/>
      <c r="L3" s="14"/>
      <c r="M3" s="1"/>
      <c r="N3" s="1"/>
      <c r="O3" s="1"/>
      <c r="P3" s="1"/>
      <c r="Q3" s="1"/>
      <c r="R3" s="1"/>
      <c r="S3" s="1"/>
      <c r="T3" s="1"/>
      <c r="U3" s="1"/>
      <c r="V3" s="1"/>
      <c r="W3" s="1"/>
      <c r="X3" s="1"/>
      <c r="Y3" s="1"/>
      <c r="Z3" s="1"/>
      <c r="AA3" s="1"/>
      <c r="AB3" s="1"/>
      <c r="AC3" s="1"/>
      <c r="AD3" s="1"/>
      <c r="AE3" s="1"/>
      <c r="AF3" s="1"/>
      <c r="AG3" s="1"/>
    </row>
    <row r="4" spans="1:33" ht="45" outlineLevel="1" x14ac:dyDescent="0.25">
      <c r="A4" s="1" t="s">
        <v>33</v>
      </c>
      <c r="B4" s="1" t="s">
        <v>34</v>
      </c>
      <c r="C4" s="1" t="s">
        <v>35</v>
      </c>
      <c r="D4" s="1" t="s">
        <v>36</v>
      </c>
      <c r="E4" s="1" t="s">
        <v>37</v>
      </c>
      <c r="F4" s="4" t="s">
        <v>38</v>
      </c>
      <c r="G4" s="5">
        <v>20</v>
      </c>
      <c r="H4" s="16"/>
      <c r="I4" s="3"/>
      <c r="J4" s="16" t="str">
        <f t="shared" ref="J4:J24" si="0">IF(H4="","",H4)</f>
        <v/>
      </c>
      <c r="K4" s="17"/>
      <c r="L4" s="4" t="s">
        <v>39</v>
      </c>
      <c r="M4" s="1" t="str">
        <f>IFERROR(INDEX(__key!$D:$D,MATCH(O4&amp;"|"&amp;SUBSTITUTE(H4,",",";"), __key!$E:$E, 0)), "")</f>
        <v/>
      </c>
      <c r="N4" s="1" t="str">
        <f>IFERROR(INDEX(__key!$D:$D,MATCH(O4&amp;"|"&amp;SUBSTITUTE(J4,",",";"), __key!$E:$E, 0)), "")</f>
        <v/>
      </c>
      <c r="O4" s="1" t="s">
        <v>40</v>
      </c>
      <c r="P4" s="1"/>
      <c r="Q4" s="1" t="s">
        <v>41</v>
      </c>
      <c r="R4" s="1">
        <v>4111</v>
      </c>
      <c r="S4" s="1">
        <f t="shared" ref="S4:S24" si="1">IFERROR(1*M4,0)</f>
        <v>0</v>
      </c>
      <c r="T4" s="1">
        <f t="shared" ref="T4:T24" si="2">IFERROR(1*N4,0)</f>
        <v>0</v>
      </c>
      <c r="U4" s="1">
        <f t="shared" ref="U4:U24" si="3">IFERROR(IF(ISNUMBER(SEARCH("Not Relevant",H4)),0,VALUE(G4)),"")</f>
        <v>20</v>
      </c>
      <c r="V4" s="1">
        <f t="shared" ref="V4:V24" si="4">IFERROR(SUMIF($D:$D,D4,$U:$U),"")</f>
        <v>100</v>
      </c>
      <c r="W4" s="1">
        <f t="shared" ref="W4:W24" si="5">IF(OR(V4=0,V4=""),"",U4/V4)</f>
        <v>0.2</v>
      </c>
      <c r="X4" s="1" t="str">
        <f t="shared" ref="X4:X24" si="6">IF(OR(M4="",W4=""),"",VALUE(M4)*W4)</f>
        <v/>
      </c>
      <c r="Y4" s="1" t="b">
        <f t="shared" ref="Y4:Y24" si="7">IFERROR(ISNUMBER(SEARCH("Not Relevant",H4)),FALSE)</f>
        <v>0</v>
      </c>
      <c r="Z4" s="1" t="str">
        <f>IF(Y4, COUNTIF($Y$2:Y4, TRUE), "")</f>
        <v/>
      </c>
      <c r="AA4" s="1">
        <f t="shared" ref="AA4:AA24" si="8">IFERROR(IF(ISNUMBER(SEARCH("Not Relevant",J4)),0,VALUE(G4)),"")</f>
        <v>20</v>
      </c>
      <c r="AB4" s="1">
        <f t="shared" ref="AB4:AB24" si="9">IFERROR(SUMIF($D:$D,D4,$AA:$AA),"")</f>
        <v>100</v>
      </c>
      <c r="AC4" s="1">
        <f t="shared" ref="AC4:AC24" si="10">IF(OR(AB4=0,AB4=""),"",AA4/AB4)</f>
        <v>0.2</v>
      </c>
      <c r="AD4" s="1" t="str">
        <f t="shared" ref="AD4:AD24" si="11">IF(OR(N4="",AC4=""),"",VALUE(N4)*AC4)</f>
        <v/>
      </c>
      <c r="AE4" s="1" t="b">
        <f t="shared" ref="AE4:AE24" si="12">IFERROR(ISNUMBER(SEARCH("Not Relevant",J4)),FALSE)</f>
        <v>0</v>
      </c>
      <c r="AF4" s="1" t="b">
        <f t="shared" ref="AF4:AF24" si="13">IF(OR(H4="",J4=""),FALSE,IF(H4&lt;&gt;J4,TRUE,FALSE))</f>
        <v>0</v>
      </c>
      <c r="AG4" s="1" t="str">
        <f>IF(AF4, COUNTIF($AF$2:AF4, TRUE), "")</f>
        <v/>
      </c>
    </row>
    <row r="5" spans="1:33" ht="30" outlineLevel="1" x14ac:dyDescent="0.25">
      <c r="A5" s="1" t="s">
        <v>33</v>
      </c>
      <c r="B5" s="1" t="s">
        <v>34</v>
      </c>
      <c r="C5" s="1" t="s">
        <v>35</v>
      </c>
      <c r="D5" s="1" t="s">
        <v>36</v>
      </c>
      <c r="E5" s="1" t="s">
        <v>42</v>
      </c>
      <c r="F5" s="4" t="s">
        <v>43</v>
      </c>
      <c r="G5" s="5">
        <v>4</v>
      </c>
      <c r="H5" s="16"/>
      <c r="I5" s="3"/>
      <c r="J5" s="16" t="str">
        <f t="shared" si="0"/>
        <v/>
      </c>
      <c r="K5" s="17"/>
      <c r="L5" s="4"/>
      <c r="M5" s="1" t="str">
        <f>IFERROR(INDEX(__key!$D:$D,MATCH(O5&amp;"|"&amp;SUBSTITUTE(H5,",",";"), __key!$E:$E, 0)), "")</f>
        <v/>
      </c>
      <c r="N5" s="1" t="str">
        <f>IFERROR(INDEX(__key!$D:$D,MATCH(O5&amp;"|"&amp;SUBSTITUTE(J5,",",";"), __key!$E:$E, 0)), "")</f>
        <v/>
      </c>
      <c r="O5" s="1" t="s">
        <v>40</v>
      </c>
      <c r="P5" s="1"/>
      <c r="Q5" s="1" t="s">
        <v>41</v>
      </c>
      <c r="R5" s="1">
        <v>4112</v>
      </c>
      <c r="S5" s="1">
        <f t="shared" si="1"/>
        <v>0</v>
      </c>
      <c r="T5" s="1">
        <f t="shared" si="2"/>
        <v>0</v>
      </c>
      <c r="U5" s="1">
        <f t="shared" si="3"/>
        <v>4</v>
      </c>
      <c r="V5" s="1">
        <f t="shared" si="4"/>
        <v>100</v>
      </c>
      <c r="W5" s="1">
        <f t="shared" si="5"/>
        <v>0.04</v>
      </c>
      <c r="X5" s="1" t="str">
        <f t="shared" si="6"/>
        <v/>
      </c>
      <c r="Y5" s="1" t="b">
        <f t="shared" si="7"/>
        <v>0</v>
      </c>
      <c r="Z5" s="1" t="str">
        <f>IF(Y5, COUNTIF($Y$2:Y5, TRUE), "")</f>
        <v/>
      </c>
      <c r="AA5" s="1">
        <f t="shared" si="8"/>
        <v>4</v>
      </c>
      <c r="AB5" s="1">
        <f t="shared" si="9"/>
        <v>100</v>
      </c>
      <c r="AC5" s="1">
        <f t="shared" si="10"/>
        <v>0.04</v>
      </c>
      <c r="AD5" s="1" t="str">
        <f t="shared" si="11"/>
        <v/>
      </c>
      <c r="AE5" s="1" t="b">
        <f t="shared" si="12"/>
        <v>0</v>
      </c>
      <c r="AF5" s="1" t="b">
        <f t="shared" si="13"/>
        <v>0</v>
      </c>
      <c r="AG5" s="1" t="str">
        <f>IF(AF5, COUNTIF($AF$2:AF5, TRUE), "")</f>
        <v/>
      </c>
    </row>
    <row r="6" spans="1:33" ht="30" outlineLevel="1" x14ac:dyDescent="0.25">
      <c r="A6" s="1" t="s">
        <v>33</v>
      </c>
      <c r="B6" s="1" t="s">
        <v>34</v>
      </c>
      <c r="C6" s="1" t="s">
        <v>35</v>
      </c>
      <c r="D6" s="1" t="s">
        <v>36</v>
      </c>
      <c r="E6" s="1" t="s">
        <v>44</v>
      </c>
      <c r="F6" s="4" t="s">
        <v>45</v>
      </c>
      <c r="G6" s="5">
        <v>4</v>
      </c>
      <c r="H6" s="16"/>
      <c r="I6" s="3"/>
      <c r="J6" s="16" t="str">
        <f t="shared" si="0"/>
        <v/>
      </c>
      <c r="K6" s="17"/>
      <c r="L6" s="4"/>
      <c r="M6" s="1" t="str">
        <f>IFERROR(INDEX(__key!$D:$D,MATCH(O6&amp;"|"&amp;SUBSTITUTE(H6,",",";"), __key!$E:$E, 0)), "")</f>
        <v/>
      </c>
      <c r="N6" s="1" t="str">
        <f>IFERROR(INDEX(__key!$D:$D,MATCH(O6&amp;"|"&amp;SUBSTITUTE(J6,",",";"), __key!$E:$E, 0)), "")</f>
        <v/>
      </c>
      <c r="O6" s="1" t="s">
        <v>40</v>
      </c>
      <c r="P6" s="1"/>
      <c r="Q6" s="1" t="s">
        <v>41</v>
      </c>
      <c r="R6" s="1">
        <v>4113</v>
      </c>
      <c r="S6" s="1">
        <f t="shared" si="1"/>
        <v>0</v>
      </c>
      <c r="T6" s="1">
        <f t="shared" si="2"/>
        <v>0</v>
      </c>
      <c r="U6" s="1">
        <f t="shared" si="3"/>
        <v>4</v>
      </c>
      <c r="V6" s="1">
        <f t="shared" si="4"/>
        <v>100</v>
      </c>
      <c r="W6" s="1">
        <f t="shared" si="5"/>
        <v>0.04</v>
      </c>
      <c r="X6" s="1" t="str">
        <f t="shared" si="6"/>
        <v/>
      </c>
      <c r="Y6" s="1" t="b">
        <f t="shared" si="7"/>
        <v>0</v>
      </c>
      <c r="Z6" s="1" t="str">
        <f>IF(Y6, COUNTIF($Y$2:Y6, TRUE), "")</f>
        <v/>
      </c>
      <c r="AA6" s="1">
        <f t="shared" si="8"/>
        <v>4</v>
      </c>
      <c r="AB6" s="1">
        <f t="shared" si="9"/>
        <v>100</v>
      </c>
      <c r="AC6" s="1">
        <f t="shared" si="10"/>
        <v>0.04</v>
      </c>
      <c r="AD6" s="1" t="str">
        <f t="shared" si="11"/>
        <v/>
      </c>
      <c r="AE6" s="1" t="b">
        <f t="shared" si="12"/>
        <v>0</v>
      </c>
      <c r="AF6" s="1" t="b">
        <f t="shared" si="13"/>
        <v>0</v>
      </c>
      <c r="AG6" s="1" t="str">
        <f>IF(AF6, COUNTIF($AF$2:AF6, TRUE), "")</f>
        <v/>
      </c>
    </row>
    <row r="7" spans="1:33" ht="30" outlineLevel="1" x14ac:dyDescent="0.25">
      <c r="A7" s="1" t="s">
        <v>33</v>
      </c>
      <c r="B7" s="1" t="s">
        <v>34</v>
      </c>
      <c r="C7" s="1" t="s">
        <v>35</v>
      </c>
      <c r="D7" s="1" t="s">
        <v>36</v>
      </c>
      <c r="E7" s="1" t="s">
        <v>46</v>
      </c>
      <c r="F7" s="4" t="s">
        <v>47</v>
      </c>
      <c r="G7" s="5">
        <v>4</v>
      </c>
      <c r="H7" s="16"/>
      <c r="I7" s="3"/>
      <c r="J7" s="16" t="str">
        <f t="shared" si="0"/>
        <v/>
      </c>
      <c r="K7" s="17"/>
      <c r="L7" s="4"/>
      <c r="M7" s="1" t="str">
        <f>IFERROR(INDEX(__key!$D:$D,MATCH(O7&amp;"|"&amp;SUBSTITUTE(H7,",",";"), __key!$E:$E, 0)), "")</f>
        <v/>
      </c>
      <c r="N7" s="1" t="str">
        <f>IFERROR(INDEX(__key!$D:$D,MATCH(O7&amp;"|"&amp;SUBSTITUTE(J7,",",";"), __key!$E:$E, 0)), "")</f>
        <v/>
      </c>
      <c r="O7" s="1" t="s">
        <v>40</v>
      </c>
      <c r="P7" s="1"/>
      <c r="Q7" s="1" t="s">
        <v>41</v>
      </c>
      <c r="R7" s="1">
        <v>4114</v>
      </c>
      <c r="S7" s="1">
        <f t="shared" si="1"/>
        <v>0</v>
      </c>
      <c r="T7" s="1">
        <f t="shared" si="2"/>
        <v>0</v>
      </c>
      <c r="U7" s="1">
        <f t="shared" si="3"/>
        <v>4</v>
      </c>
      <c r="V7" s="1">
        <f t="shared" si="4"/>
        <v>100</v>
      </c>
      <c r="W7" s="1">
        <f t="shared" si="5"/>
        <v>0.04</v>
      </c>
      <c r="X7" s="1" t="str">
        <f t="shared" si="6"/>
        <v/>
      </c>
      <c r="Y7" s="1" t="b">
        <f t="shared" si="7"/>
        <v>0</v>
      </c>
      <c r="Z7" s="1" t="str">
        <f>IF(Y7, COUNTIF($Y$2:Y7, TRUE), "")</f>
        <v/>
      </c>
      <c r="AA7" s="1">
        <f t="shared" si="8"/>
        <v>4</v>
      </c>
      <c r="AB7" s="1">
        <f t="shared" si="9"/>
        <v>100</v>
      </c>
      <c r="AC7" s="1">
        <f t="shared" si="10"/>
        <v>0.04</v>
      </c>
      <c r="AD7" s="1" t="str">
        <f t="shared" si="11"/>
        <v/>
      </c>
      <c r="AE7" s="1" t="b">
        <f t="shared" si="12"/>
        <v>0</v>
      </c>
      <c r="AF7" s="1" t="b">
        <f t="shared" si="13"/>
        <v>0</v>
      </c>
      <c r="AG7" s="1" t="str">
        <f>IF(AF7, COUNTIF($AF$2:AF7, TRUE), "")</f>
        <v/>
      </c>
    </row>
    <row r="8" spans="1:33" ht="45" outlineLevel="1" x14ac:dyDescent="0.25">
      <c r="A8" s="1" t="s">
        <v>33</v>
      </c>
      <c r="B8" s="1" t="s">
        <v>34</v>
      </c>
      <c r="C8" s="1" t="s">
        <v>35</v>
      </c>
      <c r="D8" s="1" t="s">
        <v>36</v>
      </c>
      <c r="E8" s="1" t="s">
        <v>48</v>
      </c>
      <c r="F8" s="4" t="s">
        <v>49</v>
      </c>
      <c r="G8" s="5">
        <v>4</v>
      </c>
      <c r="H8" s="16"/>
      <c r="I8" s="3"/>
      <c r="J8" s="16" t="str">
        <f t="shared" si="0"/>
        <v/>
      </c>
      <c r="K8" s="17"/>
      <c r="L8" s="4" t="s">
        <v>50</v>
      </c>
      <c r="M8" s="1" t="str">
        <f>IFERROR(INDEX(__key!$D:$D,MATCH(O8&amp;"|"&amp;SUBSTITUTE(H8,",",";"), __key!$E:$E, 0)), "")</f>
        <v/>
      </c>
      <c r="N8" s="1" t="str">
        <f>IFERROR(INDEX(__key!$D:$D,MATCH(O8&amp;"|"&amp;SUBSTITUTE(J8,",",";"), __key!$E:$E, 0)), "")</f>
        <v/>
      </c>
      <c r="O8" s="1" t="s">
        <v>51</v>
      </c>
      <c r="P8" s="1"/>
      <c r="Q8" s="1" t="s">
        <v>41</v>
      </c>
      <c r="R8" s="1">
        <v>4115</v>
      </c>
      <c r="S8" s="1">
        <f t="shared" si="1"/>
        <v>0</v>
      </c>
      <c r="T8" s="1">
        <f t="shared" si="2"/>
        <v>0</v>
      </c>
      <c r="U8" s="1">
        <f t="shared" si="3"/>
        <v>4</v>
      </c>
      <c r="V8" s="1">
        <f t="shared" si="4"/>
        <v>100</v>
      </c>
      <c r="W8" s="1">
        <f t="shared" si="5"/>
        <v>0.04</v>
      </c>
      <c r="X8" s="1" t="str">
        <f t="shared" si="6"/>
        <v/>
      </c>
      <c r="Y8" s="1" t="b">
        <f t="shared" si="7"/>
        <v>0</v>
      </c>
      <c r="Z8" s="1" t="str">
        <f>IF(Y8, COUNTIF($Y$2:Y8, TRUE), "")</f>
        <v/>
      </c>
      <c r="AA8" s="1">
        <f t="shared" si="8"/>
        <v>4</v>
      </c>
      <c r="AB8" s="1">
        <f t="shared" si="9"/>
        <v>100</v>
      </c>
      <c r="AC8" s="1">
        <f t="shared" si="10"/>
        <v>0.04</v>
      </c>
      <c r="AD8" s="1" t="str">
        <f t="shared" si="11"/>
        <v/>
      </c>
      <c r="AE8" s="1" t="b">
        <f t="shared" si="12"/>
        <v>0</v>
      </c>
      <c r="AF8" s="1" t="b">
        <f t="shared" si="13"/>
        <v>0</v>
      </c>
      <c r="AG8" s="1" t="str">
        <f>IF(AF8, COUNTIF($AF$2:AF8, TRUE), "")</f>
        <v/>
      </c>
    </row>
    <row r="9" spans="1:33" ht="45" outlineLevel="1" x14ac:dyDescent="0.25">
      <c r="A9" s="1" t="s">
        <v>33</v>
      </c>
      <c r="B9" s="1" t="s">
        <v>34</v>
      </c>
      <c r="C9" s="1" t="s">
        <v>35</v>
      </c>
      <c r="D9" s="1" t="s">
        <v>36</v>
      </c>
      <c r="E9" s="1" t="s">
        <v>52</v>
      </c>
      <c r="F9" s="4" t="s">
        <v>53</v>
      </c>
      <c r="G9" s="5">
        <v>4</v>
      </c>
      <c r="H9" s="16"/>
      <c r="I9" s="3"/>
      <c r="J9" s="16" t="str">
        <f t="shared" si="0"/>
        <v/>
      </c>
      <c r="K9" s="17"/>
      <c r="L9" s="4" t="s">
        <v>54</v>
      </c>
      <c r="M9" s="1" t="str">
        <f>IFERROR(INDEX(__key!$D:$D,MATCH(O9&amp;"|"&amp;SUBSTITUTE(H9,",",";"), __key!$E:$E, 0)), "")</f>
        <v/>
      </c>
      <c r="N9" s="1" t="str">
        <f>IFERROR(INDEX(__key!$D:$D,MATCH(O9&amp;"|"&amp;SUBSTITUTE(J9,",",";"), __key!$E:$E, 0)), "")</f>
        <v/>
      </c>
      <c r="O9" s="1" t="s">
        <v>55</v>
      </c>
      <c r="P9" s="1"/>
      <c r="Q9" s="1" t="s">
        <v>41</v>
      </c>
      <c r="R9" s="1">
        <v>4116</v>
      </c>
      <c r="S9" s="1">
        <f t="shared" si="1"/>
        <v>0</v>
      </c>
      <c r="T9" s="1">
        <f t="shared" si="2"/>
        <v>0</v>
      </c>
      <c r="U9" s="1">
        <f t="shared" si="3"/>
        <v>4</v>
      </c>
      <c r="V9" s="1">
        <f t="shared" si="4"/>
        <v>100</v>
      </c>
      <c r="W9" s="1">
        <f t="shared" si="5"/>
        <v>0.04</v>
      </c>
      <c r="X9" s="1" t="str">
        <f t="shared" si="6"/>
        <v/>
      </c>
      <c r="Y9" s="1" t="b">
        <f t="shared" si="7"/>
        <v>0</v>
      </c>
      <c r="Z9" s="1" t="str">
        <f>IF(Y9, COUNTIF($Y$2:Y9, TRUE), "")</f>
        <v/>
      </c>
      <c r="AA9" s="1">
        <f t="shared" si="8"/>
        <v>4</v>
      </c>
      <c r="AB9" s="1">
        <f t="shared" si="9"/>
        <v>100</v>
      </c>
      <c r="AC9" s="1">
        <f t="shared" si="10"/>
        <v>0.04</v>
      </c>
      <c r="AD9" s="1" t="str">
        <f t="shared" si="11"/>
        <v/>
      </c>
      <c r="AE9" s="1" t="b">
        <f t="shared" si="12"/>
        <v>0</v>
      </c>
      <c r="AF9" s="1" t="b">
        <f t="shared" si="13"/>
        <v>0</v>
      </c>
      <c r="AG9" s="1" t="str">
        <f>IF(AF9, COUNTIF($AF$2:AF9, TRUE), "")</f>
        <v/>
      </c>
    </row>
    <row r="10" spans="1:33" ht="45" outlineLevel="1" x14ac:dyDescent="0.25">
      <c r="A10" s="1" t="s">
        <v>33</v>
      </c>
      <c r="B10" s="1" t="s">
        <v>34</v>
      </c>
      <c r="C10" s="1" t="s">
        <v>35</v>
      </c>
      <c r="D10" s="1" t="s">
        <v>36</v>
      </c>
      <c r="E10" s="1" t="s">
        <v>56</v>
      </c>
      <c r="F10" s="4" t="s">
        <v>57</v>
      </c>
      <c r="G10" s="5">
        <v>4</v>
      </c>
      <c r="H10" s="16"/>
      <c r="I10" s="3"/>
      <c r="J10" s="16" t="str">
        <f t="shared" si="0"/>
        <v/>
      </c>
      <c r="K10" s="17"/>
      <c r="L10" s="4"/>
      <c r="M10" s="1" t="str">
        <f>IFERROR(INDEX(__key!$D:$D,MATCH(O10&amp;"|"&amp;SUBSTITUTE(H10,",",";"), __key!$E:$E, 0)), "")</f>
        <v/>
      </c>
      <c r="N10" s="1" t="str">
        <f>IFERROR(INDEX(__key!$D:$D,MATCH(O10&amp;"|"&amp;SUBSTITUTE(J10,",",";"), __key!$E:$E, 0)), "")</f>
        <v/>
      </c>
      <c r="O10" s="1" t="s">
        <v>58</v>
      </c>
      <c r="P10" s="1"/>
      <c r="Q10" s="1" t="s">
        <v>41</v>
      </c>
      <c r="R10" s="1">
        <v>4117</v>
      </c>
      <c r="S10" s="1">
        <f t="shared" si="1"/>
        <v>0</v>
      </c>
      <c r="T10" s="1">
        <f t="shared" si="2"/>
        <v>0</v>
      </c>
      <c r="U10" s="1">
        <f t="shared" si="3"/>
        <v>4</v>
      </c>
      <c r="V10" s="1">
        <f t="shared" si="4"/>
        <v>100</v>
      </c>
      <c r="W10" s="1">
        <f t="shared" si="5"/>
        <v>0.04</v>
      </c>
      <c r="X10" s="1" t="str">
        <f t="shared" si="6"/>
        <v/>
      </c>
      <c r="Y10" s="1" t="b">
        <f t="shared" si="7"/>
        <v>0</v>
      </c>
      <c r="Z10" s="1" t="str">
        <f>IF(Y10, COUNTIF($Y$2:Y10, TRUE), "")</f>
        <v/>
      </c>
      <c r="AA10" s="1">
        <f t="shared" si="8"/>
        <v>4</v>
      </c>
      <c r="AB10" s="1">
        <f t="shared" si="9"/>
        <v>100</v>
      </c>
      <c r="AC10" s="1">
        <f t="shared" si="10"/>
        <v>0.04</v>
      </c>
      <c r="AD10" s="1" t="str">
        <f t="shared" si="11"/>
        <v/>
      </c>
      <c r="AE10" s="1" t="b">
        <f t="shared" si="12"/>
        <v>0</v>
      </c>
      <c r="AF10" s="1" t="b">
        <f t="shared" si="13"/>
        <v>0</v>
      </c>
      <c r="AG10" s="1" t="str">
        <f>IF(AF10, COUNTIF($AF$2:AF10, TRUE), "")</f>
        <v/>
      </c>
    </row>
    <row r="11" spans="1:33" ht="45" outlineLevel="1" x14ac:dyDescent="0.25">
      <c r="A11" s="1" t="s">
        <v>33</v>
      </c>
      <c r="B11" s="1" t="s">
        <v>34</v>
      </c>
      <c r="C11" s="1" t="s">
        <v>35</v>
      </c>
      <c r="D11" s="1" t="s">
        <v>36</v>
      </c>
      <c r="E11" s="1" t="s">
        <v>59</v>
      </c>
      <c r="F11" s="4" t="s">
        <v>60</v>
      </c>
      <c r="G11" s="5">
        <v>4</v>
      </c>
      <c r="H11" s="16"/>
      <c r="I11" s="3"/>
      <c r="J11" s="16" t="str">
        <f t="shared" si="0"/>
        <v/>
      </c>
      <c r="K11" s="17"/>
      <c r="L11" s="4"/>
      <c r="M11" s="1" t="str">
        <f>IFERROR(INDEX(__key!$D:$D,MATCH(O11&amp;"|"&amp;SUBSTITUTE(H11,",",";"), __key!$E:$E, 0)), "")</f>
        <v/>
      </c>
      <c r="N11" s="1" t="str">
        <f>IFERROR(INDEX(__key!$D:$D,MATCH(O11&amp;"|"&amp;SUBSTITUTE(J11,",",";"), __key!$E:$E, 0)), "")</f>
        <v/>
      </c>
      <c r="O11" s="1" t="s">
        <v>58</v>
      </c>
      <c r="P11" s="1"/>
      <c r="Q11" s="1" t="s">
        <v>41</v>
      </c>
      <c r="R11" s="1">
        <v>4118</v>
      </c>
      <c r="S11" s="1">
        <f t="shared" si="1"/>
        <v>0</v>
      </c>
      <c r="T11" s="1">
        <f t="shared" si="2"/>
        <v>0</v>
      </c>
      <c r="U11" s="1">
        <f t="shared" si="3"/>
        <v>4</v>
      </c>
      <c r="V11" s="1">
        <f t="shared" si="4"/>
        <v>100</v>
      </c>
      <c r="W11" s="1">
        <f t="shared" si="5"/>
        <v>0.04</v>
      </c>
      <c r="X11" s="1" t="str">
        <f t="shared" si="6"/>
        <v/>
      </c>
      <c r="Y11" s="1" t="b">
        <f t="shared" si="7"/>
        <v>0</v>
      </c>
      <c r="Z11" s="1" t="str">
        <f>IF(Y11, COUNTIF($Y$2:Y11, TRUE), "")</f>
        <v/>
      </c>
      <c r="AA11" s="1">
        <f t="shared" si="8"/>
        <v>4</v>
      </c>
      <c r="AB11" s="1">
        <f t="shared" si="9"/>
        <v>100</v>
      </c>
      <c r="AC11" s="1">
        <f t="shared" si="10"/>
        <v>0.04</v>
      </c>
      <c r="AD11" s="1" t="str">
        <f t="shared" si="11"/>
        <v/>
      </c>
      <c r="AE11" s="1" t="b">
        <f t="shared" si="12"/>
        <v>0</v>
      </c>
      <c r="AF11" s="1" t="b">
        <f t="shared" si="13"/>
        <v>0</v>
      </c>
      <c r="AG11" s="1" t="str">
        <f>IF(AF11, COUNTIF($AF$2:AF11, TRUE), "")</f>
        <v/>
      </c>
    </row>
    <row r="12" spans="1:33" ht="45" outlineLevel="1" x14ac:dyDescent="0.25">
      <c r="A12" s="1" t="s">
        <v>33</v>
      </c>
      <c r="B12" s="1" t="s">
        <v>34</v>
      </c>
      <c r="C12" s="1" t="s">
        <v>35</v>
      </c>
      <c r="D12" s="1" t="s">
        <v>36</v>
      </c>
      <c r="E12" s="1" t="s">
        <v>61</v>
      </c>
      <c r="F12" s="4" t="s">
        <v>62</v>
      </c>
      <c r="G12" s="5">
        <v>4</v>
      </c>
      <c r="H12" s="16"/>
      <c r="I12" s="3"/>
      <c r="J12" s="16" t="str">
        <f t="shared" si="0"/>
        <v/>
      </c>
      <c r="K12" s="17"/>
      <c r="L12" s="4"/>
      <c r="M12" s="1" t="str">
        <f>IFERROR(INDEX(__key!$D:$D,MATCH(O12&amp;"|"&amp;SUBSTITUTE(H12,",",";"), __key!$E:$E, 0)), "")</f>
        <v/>
      </c>
      <c r="N12" s="1" t="str">
        <f>IFERROR(INDEX(__key!$D:$D,MATCH(O12&amp;"|"&amp;SUBSTITUTE(J12,",",";"), __key!$E:$E, 0)), "")</f>
        <v/>
      </c>
      <c r="O12" s="1" t="s">
        <v>58</v>
      </c>
      <c r="P12" s="1"/>
      <c r="Q12" s="1" t="s">
        <v>41</v>
      </c>
      <c r="R12" s="1">
        <v>4119</v>
      </c>
      <c r="S12" s="1">
        <f t="shared" si="1"/>
        <v>0</v>
      </c>
      <c r="T12" s="1">
        <f t="shared" si="2"/>
        <v>0</v>
      </c>
      <c r="U12" s="1">
        <f t="shared" si="3"/>
        <v>4</v>
      </c>
      <c r="V12" s="1">
        <f t="shared" si="4"/>
        <v>100</v>
      </c>
      <c r="W12" s="1">
        <f t="shared" si="5"/>
        <v>0.04</v>
      </c>
      <c r="X12" s="1" t="str">
        <f t="shared" si="6"/>
        <v/>
      </c>
      <c r="Y12" s="1" t="b">
        <f t="shared" si="7"/>
        <v>0</v>
      </c>
      <c r="Z12" s="1" t="str">
        <f>IF(Y12, COUNTIF($Y$2:Y12, TRUE), "")</f>
        <v/>
      </c>
      <c r="AA12" s="1">
        <f t="shared" si="8"/>
        <v>4</v>
      </c>
      <c r="AB12" s="1">
        <f t="shared" si="9"/>
        <v>100</v>
      </c>
      <c r="AC12" s="1">
        <f t="shared" si="10"/>
        <v>0.04</v>
      </c>
      <c r="AD12" s="1" t="str">
        <f t="shared" si="11"/>
        <v/>
      </c>
      <c r="AE12" s="1" t="b">
        <f t="shared" si="12"/>
        <v>0</v>
      </c>
      <c r="AF12" s="1" t="b">
        <f t="shared" si="13"/>
        <v>0</v>
      </c>
      <c r="AG12" s="1" t="str">
        <f>IF(AF12, COUNTIF($AF$2:AF12, TRUE), "")</f>
        <v/>
      </c>
    </row>
    <row r="13" spans="1:33" ht="45" outlineLevel="1" x14ac:dyDescent="0.25">
      <c r="A13" s="1" t="s">
        <v>33</v>
      </c>
      <c r="B13" s="1" t="s">
        <v>34</v>
      </c>
      <c r="C13" s="1" t="s">
        <v>35</v>
      </c>
      <c r="D13" s="1" t="s">
        <v>36</v>
      </c>
      <c r="E13" s="1" t="s">
        <v>63</v>
      </c>
      <c r="F13" s="4" t="s">
        <v>64</v>
      </c>
      <c r="G13" s="5">
        <v>4</v>
      </c>
      <c r="H13" s="16"/>
      <c r="I13" s="3"/>
      <c r="J13" s="16" t="str">
        <f t="shared" si="0"/>
        <v/>
      </c>
      <c r="K13" s="17"/>
      <c r="L13" s="4"/>
      <c r="M13" s="1" t="str">
        <f>IFERROR(INDEX(__key!$D:$D,MATCH(O13&amp;"|"&amp;SUBSTITUTE(H13,",",";"), __key!$E:$E, 0)), "")</f>
        <v/>
      </c>
      <c r="N13" s="1" t="str">
        <f>IFERROR(INDEX(__key!$D:$D,MATCH(O13&amp;"|"&amp;SUBSTITUTE(J13,",",";"), __key!$E:$E, 0)), "")</f>
        <v/>
      </c>
      <c r="O13" s="1" t="s">
        <v>58</v>
      </c>
      <c r="P13" s="1"/>
      <c r="Q13" s="1" t="s">
        <v>41</v>
      </c>
      <c r="R13" s="1">
        <v>41110</v>
      </c>
      <c r="S13" s="1">
        <f t="shared" si="1"/>
        <v>0</v>
      </c>
      <c r="T13" s="1">
        <f t="shared" si="2"/>
        <v>0</v>
      </c>
      <c r="U13" s="1">
        <f t="shared" si="3"/>
        <v>4</v>
      </c>
      <c r="V13" s="1">
        <f t="shared" si="4"/>
        <v>100</v>
      </c>
      <c r="W13" s="1">
        <f t="shared" si="5"/>
        <v>0.04</v>
      </c>
      <c r="X13" s="1" t="str">
        <f t="shared" si="6"/>
        <v/>
      </c>
      <c r="Y13" s="1" t="b">
        <f t="shared" si="7"/>
        <v>0</v>
      </c>
      <c r="Z13" s="1" t="str">
        <f>IF(Y13, COUNTIF($Y$2:Y13, TRUE), "")</f>
        <v/>
      </c>
      <c r="AA13" s="1">
        <f t="shared" si="8"/>
        <v>4</v>
      </c>
      <c r="AB13" s="1">
        <f t="shared" si="9"/>
        <v>100</v>
      </c>
      <c r="AC13" s="1">
        <f t="shared" si="10"/>
        <v>0.04</v>
      </c>
      <c r="AD13" s="1" t="str">
        <f t="shared" si="11"/>
        <v/>
      </c>
      <c r="AE13" s="1" t="b">
        <f t="shared" si="12"/>
        <v>0</v>
      </c>
      <c r="AF13" s="1" t="b">
        <f t="shared" si="13"/>
        <v>0</v>
      </c>
      <c r="AG13" s="1" t="str">
        <f>IF(AF13, COUNTIF($AF$2:AF13, TRUE), "")</f>
        <v/>
      </c>
    </row>
    <row r="14" spans="1:33" ht="30" outlineLevel="1" x14ac:dyDescent="0.25">
      <c r="A14" s="1" t="s">
        <v>33</v>
      </c>
      <c r="B14" s="1" t="s">
        <v>34</v>
      </c>
      <c r="C14" s="1" t="s">
        <v>35</v>
      </c>
      <c r="D14" s="1" t="s">
        <v>36</v>
      </c>
      <c r="E14" s="1" t="s">
        <v>65</v>
      </c>
      <c r="F14" s="4" t="s">
        <v>66</v>
      </c>
      <c r="G14" s="5">
        <v>4</v>
      </c>
      <c r="H14" s="16"/>
      <c r="I14" s="3"/>
      <c r="J14" s="16" t="str">
        <f t="shared" si="0"/>
        <v/>
      </c>
      <c r="K14" s="17"/>
      <c r="L14" s="4"/>
      <c r="M14" s="1" t="str">
        <f>IFERROR(INDEX(__key!$D:$D,MATCH(O14&amp;"|"&amp;SUBSTITUTE(H14,",",";"), __key!$E:$E, 0)), "")</f>
        <v/>
      </c>
      <c r="N14" s="1" t="str">
        <f>IFERROR(INDEX(__key!$D:$D,MATCH(O14&amp;"|"&amp;SUBSTITUTE(J14,",",";"), __key!$E:$E, 0)), "")</f>
        <v/>
      </c>
      <c r="O14" s="1" t="s">
        <v>58</v>
      </c>
      <c r="P14" s="1"/>
      <c r="Q14" s="1" t="s">
        <v>41</v>
      </c>
      <c r="R14" s="1">
        <v>41111</v>
      </c>
      <c r="S14" s="1">
        <f t="shared" si="1"/>
        <v>0</v>
      </c>
      <c r="T14" s="1">
        <f t="shared" si="2"/>
        <v>0</v>
      </c>
      <c r="U14" s="1">
        <f t="shared" si="3"/>
        <v>4</v>
      </c>
      <c r="V14" s="1">
        <f t="shared" si="4"/>
        <v>100</v>
      </c>
      <c r="W14" s="1">
        <f t="shared" si="5"/>
        <v>0.04</v>
      </c>
      <c r="X14" s="1" t="str">
        <f t="shared" si="6"/>
        <v/>
      </c>
      <c r="Y14" s="1" t="b">
        <f t="shared" si="7"/>
        <v>0</v>
      </c>
      <c r="Z14" s="1" t="str">
        <f>IF(Y14, COUNTIF($Y$2:Y14, TRUE), "")</f>
        <v/>
      </c>
      <c r="AA14" s="1">
        <f t="shared" si="8"/>
        <v>4</v>
      </c>
      <c r="AB14" s="1">
        <f t="shared" si="9"/>
        <v>100</v>
      </c>
      <c r="AC14" s="1">
        <f t="shared" si="10"/>
        <v>0.04</v>
      </c>
      <c r="AD14" s="1" t="str">
        <f t="shared" si="11"/>
        <v/>
      </c>
      <c r="AE14" s="1" t="b">
        <f t="shared" si="12"/>
        <v>0</v>
      </c>
      <c r="AF14" s="1" t="b">
        <f t="shared" si="13"/>
        <v>0</v>
      </c>
      <c r="AG14" s="1" t="str">
        <f>IF(AF14, COUNTIF($AF$2:AF14, TRUE), "")</f>
        <v/>
      </c>
    </row>
    <row r="15" spans="1:33" ht="60" outlineLevel="1" x14ac:dyDescent="0.25">
      <c r="A15" s="1" t="s">
        <v>33</v>
      </c>
      <c r="B15" s="1" t="s">
        <v>34</v>
      </c>
      <c r="C15" s="1" t="s">
        <v>35</v>
      </c>
      <c r="D15" s="1" t="s">
        <v>36</v>
      </c>
      <c r="E15" s="1" t="s">
        <v>67</v>
      </c>
      <c r="F15" s="4" t="s">
        <v>68</v>
      </c>
      <c r="G15" s="5">
        <v>4</v>
      </c>
      <c r="H15" s="16"/>
      <c r="I15" s="3"/>
      <c r="J15" s="16" t="str">
        <f t="shared" si="0"/>
        <v/>
      </c>
      <c r="K15" s="17"/>
      <c r="L15" s="4"/>
      <c r="M15" s="1" t="str">
        <f>IFERROR(INDEX(__key!$D:$D,MATCH(O15&amp;"|"&amp;SUBSTITUTE(H15,",",";"), __key!$E:$E, 0)), "")</f>
        <v/>
      </c>
      <c r="N15" s="1" t="str">
        <f>IFERROR(INDEX(__key!$D:$D,MATCH(O15&amp;"|"&amp;SUBSTITUTE(J15,",",";"), __key!$E:$E, 0)), "")</f>
        <v/>
      </c>
      <c r="O15" s="1" t="s">
        <v>58</v>
      </c>
      <c r="P15" s="1"/>
      <c r="Q15" s="1" t="s">
        <v>41</v>
      </c>
      <c r="R15" s="1">
        <v>41112</v>
      </c>
      <c r="S15" s="1">
        <f t="shared" si="1"/>
        <v>0</v>
      </c>
      <c r="T15" s="1">
        <f t="shared" si="2"/>
        <v>0</v>
      </c>
      <c r="U15" s="1">
        <f t="shared" si="3"/>
        <v>4</v>
      </c>
      <c r="V15" s="1">
        <f t="shared" si="4"/>
        <v>100</v>
      </c>
      <c r="W15" s="1">
        <f t="shared" si="5"/>
        <v>0.04</v>
      </c>
      <c r="X15" s="1" t="str">
        <f t="shared" si="6"/>
        <v/>
      </c>
      <c r="Y15" s="1" t="b">
        <f t="shared" si="7"/>
        <v>0</v>
      </c>
      <c r="Z15" s="1" t="str">
        <f>IF(Y15, COUNTIF($Y$2:Y15, TRUE), "")</f>
        <v/>
      </c>
      <c r="AA15" s="1">
        <f t="shared" si="8"/>
        <v>4</v>
      </c>
      <c r="AB15" s="1">
        <f t="shared" si="9"/>
        <v>100</v>
      </c>
      <c r="AC15" s="1">
        <f t="shared" si="10"/>
        <v>0.04</v>
      </c>
      <c r="AD15" s="1" t="str">
        <f t="shared" si="11"/>
        <v/>
      </c>
      <c r="AE15" s="1" t="b">
        <f t="shared" si="12"/>
        <v>0</v>
      </c>
      <c r="AF15" s="1" t="b">
        <f t="shared" si="13"/>
        <v>0</v>
      </c>
      <c r="AG15" s="1" t="str">
        <f>IF(AF15, COUNTIF($AF$2:AF15, TRUE), "")</f>
        <v/>
      </c>
    </row>
    <row r="16" spans="1:33" ht="30" outlineLevel="1" x14ac:dyDescent="0.25">
      <c r="A16" s="1" t="s">
        <v>33</v>
      </c>
      <c r="B16" s="1" t="s">
        <v>34</v>
      </c>
      <c r="C16" s="1" t="s">
        <v>35</v>
      </c>
      <c r="D16" s="1" t="s">
        <v>36</v>
      </c>
      <c r="E16" s="1" t="s">
        <v>69</v>
      </c>
      <c r="F16" s="4" t="s">
        <v>70</v>
      </c>
      <c r="G16" s="5">
        <v>4</v>
      </c>
      <c r="H16" s="16"/>
      <c r="I16" s="3"/>
      <c r="J16" s="16" t="str">
        <f t="shared" si="0"/>
        <v/>
      </c>
      <c r="K16" s="17"/>
      <c r="L16" s="4"/>
      <c r="M16" s="1" t="str">
        <f>IFERROR(INDEX(__key!$D:$D,MATCH(O16&amp;"|"&amp;SUBSTITUTE(H16,",",";"), __key!$E:$E, 0)), "")</f>
        <v/>
      </c>
      <c r="N16" s="1" t="str">
        <f>IFERROR(INDEX(__key!$D:$D,MATCH(O16&amp;"|"&amp;SUBSTITUTE(J16,",",";"), __key!$E:$E, 0)), "")</f>
        <v/>
      </c>
      <c r="O16" s="1" t="s">
        <v>58</v>
      </c>
      <c r="P16" s="1"/>
      <c r="Q16" s="1" t="s">
        <v>41</v>
      </c>
      <c r="R16" s="1">
        <v>41113</v>
      </c>
      <c r="S16" s="1">
        <f t="shared" si="1"/>
        <v>0</v>
      </c>
      <c r="T16" s="1">
        <f t="shared" si="2"/>
        <v>0</v>
      </c>
      <c r="U16" s="1">
        <f t="shared" si="3"/>
        <v>4</v>
      </c>
      <c r="V16" s="1">
        <f t="shared" si="4"/>
        <v>100</v>
      </c>
      <c r="W16" s="1">
        <f t="shared" si="5"/>
        <v>0.04</v>
      </c>
      <c r="X16" s="1" t="str">
        <f t="shared" si="6"/>
        <v/>
      </c>
      <c r="Y16" s="1" t="b">
        <f t="shared" si="7"/>
        <v>0</v>
      </c>
      <c r="Z16" s="1" t="str">
        <f>IF(Y16, COUNTIF($Y$2:Y16, TRUE), "")</f>
        <v/>
      </c>
      <c r="AA16" s="1">
        <f t="shared" si="8"/>
        <v>4</v>
      </c>
      <c r="AB16" s="1">
        <f t="shared" si="9"/>
        <v>100</v>
      </c>
      <c r="AC16" s="1">
        <f t="shared" si="10"/>
        <v>0.04</v>
      </c>
      <c r="AD16" s="1" t="str">
        <f t="shared" si="11"/>
        <v/>
      </c>
      <c r="AE16" s="1" t="b">
        <f t="shared" si="12"/>
        <v>0</v>
      </c>
      <c r="AF16" s="1" t="b">
        <f t="shared" si="13"/>
        <v>0</v>
      </c>
      <c r="AG16" s="1" t="str">
        <f>IF(AF16, COUNTIF($AF$2:AF16, TRUE), "")</f>
        <v/>
      </c>
    </row>
    <row r="17" spans="1:33" ht="30" outlineLevel="1" x14ac:dyDescent="0.25">
      <c r="A17" s="1" t="s">
        <v>33</v>
      </c>
      <c r="B17" s="1" t="s">
        <v>34</v>
      </c>
      <c r="C17" s="1" t="s">
        <v>35</v>
      </c>
      <c r="D17" s="1" t="s">
        <v>36</v>
      </c>
      <c r="E17" s="1" t="s">
        <v>71</v>
      </c>
      <c r="F17" s="4" t="s">
        <v>72</v>
      </c>
      <c r="G17" s="5">
        <v>4</v>
      </c>
      <c r="H17" s="16"/>
      <c r="I17" s="3"/>
      <c r="J17" s="16" t="str">
        <f t="shared" si="0"/>
        <v/>
      </c>
      <c r="K17" s="17"/>
      <c r="L17" s="4"/>
      <c r="M17" s="1" t="str">
        <f>IFERROR(INDEX(__key!$D:$D,MATCH(O17&amp;"|"&amp;SUBSTITUTE(H17,",",";"), __key!$E:$E, 0)), "")</f>
        <v/>
      </c>
      <c r="N17" s="1" t="str">
        <f>IFERROR(INDEX(__key!$D:$D,MATCH(O17&amp;"|"&amp;SUBSTITUTE(J17,",",";"), __key!$E:$E, 0)), "")</f>
        <v/>
      </c>
      <c r="O17" s="1" t="s">
        <v>58</v>
      </c>
      <c r="P17" s="1"/>
      <c r="Q17" s="1" t="s">
        <v>41</v>
      </c>
      <c r="R17" s="1">
        <v>41114</v>
      </c>
      <c r="S17" s="1">
        <f t="shared" si="1"/>
        <v>0</v>
      </c>
      <c r="T17" s="1">
        <f t="shared" si="2"/>
        <v>0</v>
      </c>
      <c r="U17" s="1">
        <f t="shared" si="3"/>
        <v>4</v>
      </c>
      <c r="V17" s="1">
        <f t="shared" si="4"/>
        <v>100</v>
      </c>
      <c r="W17" s="1">
        <f t="shared" si="5"/>
        <v>0.04</v>
      </c>
      <c r="X17" s="1" t="str">
        <f t="shared" si="6"/>
        <v/>
      </c>
      <c r="Y17" s="1" t="b">
        <f t="shared" si="7"/>
        <v>0</v>
      </c>
      <c r="Z17" s="1" t="str">
        <f>IF(Y17, COUNTIF($Y$2:Y17, TRUE), "")</f>
        <v/>
      </c>
      <c r="AA17" s="1">
        <f t="shared" si="8"/>
        <v>4</v>
      </c>
      <c r="AB17" s="1">
        <f t="shared" si="9"/>
        <v>100</v>
      </c>
      <c r="AC17" s="1">
        <f t="shared" si="10"/>
        <v>0.04</v>
      </c>
      <c r="AD17" s="1" t="str">
        <f t="shared" si="11"/>
        <v/>
      </c>
      <c r="AE17" s="1" t="b">
        <f t="shared" si="12"/>
        <v>0</v>
      </c>
      <c r="AF17" s="1" t="b">
        <f t="shared" si="13"/>
        <v>0</v>
      </c>
      <c r="AG17" s="1" t="str">
        <f>IF(AF17, COUNTIF($AF$2:AF17, TRUE), "")</f>
        <v/>
      </c>
    </row>
    <row r="18" spans="1:33" ht="75" outlineLevel="1" x14ac:dyDescent="0.25">
      <c r="A18" s="1" t="s">
        <v>33</v>
      </c>
      <c r="B18" s="1" t="s">
        <v>34</v>
      </c>
      <c r="C18" s="1" t="s">
        <v>35</v>
      </c>
      <c r="D18" s="1" t="s">
        <v>36</v>
      </c>
      <c r="E18" s="1" t="s">
        <v>73</v>
      </c>
      <c r="F18" s="4" t="s">
        <v>74</v>
      </c>
      <c r="G18" s="5">
        <v>4</v>
      </c>
      <c r="H18" s="16"/>
      <c r="I18" s="3"/>
      <c r="J18" s="16" t="str">
        <f t="shared" si="0"/>
        <v/>
      </c>
      <c r="K18" s="17"/>
      <c r="L18" s="4" t="s">
        <v>75</v>
      </c>
      <c r="M18" s="1" t="str">
        <f>IFERROR(INDEX(__key!$D:$D,MATCH(O18&amp;"|"&amp;SUBSTITUTE(H18,",",";"), __key!$E:$E, 0)), "")</f>
        <v/>
      </c>
      <c r="N18" s="1" t="str">
        <f>IFERROR(INDEX(__key!$D:$D,MATCH(O18&amp;"|"&amp;SUBSTITUTE(J18,",",";"), __key!$E:$E, 0)), "")</f>
        <v/>
      </c>
      <c r="O18" s="1" t="s">
        <v>51</v>
      </c>
      <c r="P18" s="1"/>
      <c r="Q18" s="1" t="s">
        <v>41</v>
      </c>
      <c r="R18" s="1">
        <v>41115</v>
      </c>
      <c r="S18" s="1">
        <f t="shared" si="1"/>
        <v>0</v>
      </c>
      <c r="T18" s="1">
        <f t="shared" si="2"/>
        <v>0</v>
      </c>
      <c r="U18" s="1">
        <f t="shared" si="3"/>
        <v>4</v>
      </c>
      <c r="V18" s="1">
        <f t="shared" si="4"/>
        <v>100</v>
      </c>
      <c r="W18" s="1">
        <f t="shared" si="5"/>
        <v>0.04</v>
      </c>
      <c r="X18" s="1" t="str">
        <f t="shared" si="6"/>
        <v/>
      </c>
      <c r="Y18" s="1" t="b">
        <f t="shared" si="7"/>
        <v>0</v>
      </c>
      <c r="Z18" s="1" t="str">
        <f>IF(Y18, COUNTIF($Y$2:Y18, TRUE), "")</f>
        <v/>
      </c>
      <c r="AA18" s="1">
        <f t="shared" si="8"/>
        <v>4</v>
      </c>
      <c r="AB18" s="1">
        <f t="shared" si="9"/>
        <v>100</v>
      </c>
      <c r="AC18" s="1">
        <f t="shared" si="10"/>
        <v>0.04</v>
      </c>
      <c r="AD18" s="1" t="str">
        <f t="shared" si="11"/>
        <v/>
      </c>
      <c r="AE18" s="1" t="b">
        <f t="shared" si="12"/>
        <v>0</v>
      </c>
      <c r="AF18" s="1" t="b">
        <f t="shared" si="13"/>
        <v>0</v>
      </c>
      <c r="AG18" s="1" t="str">
        <f>IF(AF18, COUNTIF($AF$2:AF18, TRUE), "")</f>
        <v/>
      </c>
    </row>
    <row r="19" spans="1:33" ht="60" outlineLevel="1" x14ac:dyDescent="0.25">
      <c r="A19" s="1" t="s">
        <v>33</v>
      </c>
      <c r="B19" s="1" t="s">
        <v>34</v>
      </c>
      <c r="C19" s="1" t="s">
        <v>35</v>
      </c>
      <c r="D19" s="1" t="s">
        <v>36</v>
      </c>
      <c r="E19" s="1" t="s">
        <v>76</v>
      </c>
      <c r="F19" s="4" t="s">
        <v>77</v>
      </c>
      <c r="G19" s="5">
        <v>4</v>
      </c>
      <c r="H19" s="16"/>
      <c r="I19" s="3"/>
      <c r="J19" s="16" t="str">
        <f t="shared" si="0"/>
        <v/>
      </c>
      <c r="K19" s="17"/>
      <c r="L19" s="4" t="s">
        <v>78</v>
      </c>
      <c r="M19" s="1" t="str">
        <f>IFERROR(INDEX(__key!$D:$D,MATCH(O19&amp;"|"&amp;SUBSTITUTE(H19,",",";"), __key!$E:$E, 0)), "")</f>
        <v/>
      </c>
      <c r="N19" s="1" t="str">
        <f>IFERROR(INDEX(__key!$D:$D,MATCH(O19&amp;"|"&amp;SUBSTITUTE(J19,",",";"), __key!$E:$E, 0)), "")</f>
        <v/>
      </c>
      <c r="O19" s="1" t="s">
        <v>51</v>
      </c>
      <c r="P19" s="1"/>
      <c r="Q19" s="1" t="s">
        <v>41</v>
      </c>
      <c r="R19" s="1">
        <v>41116</v>
      </c>
      <c r="S19" s="1">
        <f t="shared" si="1"/>
        <v>0</v>
      </c>
      <c r="T19" s="1">
        <f t="shared" si="2"/>
        <v>0</v>
      </c>
      <c r="U19" s="1">
        <f t="shared" si="3"/>
        <v>4</v>
      </c>
      <c r="V19" s="1">
        <f t="shared" si="4"/>
        <v>100</v>
      </c>
      <c r="W19" s="1">
        <f t="shared" si="5"/>
        <v>0.04</v>
      </c>
      <c r="X19" s="1" t="str">
        <f t="shared" si="6"/>
        <v/>
      </c>
      <c r="Y19" s="1" t="b">
        <f t="shared" si="7"/>
        <v>0</v>
      </c>
      <c r="Z19" s="1" t="str">
        <f>IF(Y19, COUNTIF($Y$2:Y19, TRUE), "")</f>
        <v/>
      </c>
      <c r="AA19" s="1">
        <f t="shared" si="8"/>
        <v>4</v>
      </c>
      <c r="AB19" s="1">
        <f t="shared" si="9"/>
        <v>100</v>
      </c>
      <c r="AC19" s="1">
        <f t="shared" si="10"/>
        <v>0.04</v>
      </c>
      <c r="AD19" s="1" t="str">
        <f t="shared" si="11"/>
        <v/>
      </c>
      <c r="AE19" s="1" t="b">
        <f t="shared" si="12"/>
        <v>0</v>
      </c>
      <c r="AF19" s="1" t="b">
        <f t="shared" si="13"/>
        <v>0</v>
      </c>
      <c r="AG19" s="1" t="str">
        <f>IF(AF19, COUNTIF($AF$2:AF19, TRUE), "")</f>
        <v/>
      </c>
    </row>
    <row r="20" spans="1:33" ht="45" outlineLevel="1" x14ac:dyDescent="0.25">
      <c r="A20" s="1" t="s">
        <v>33</v>
      </c>
      <c r="B20" s="1" t="s">
        <v>34</v>
      </c>
      <c r="C20" s="1" t="s">
        <v>35</v>
      </c>
      <c r="D20" s="1" t="s">
        <v>36</v>
      </c>
      <c r="E20" s="1" t="s">
        <v>79</v>
      </c>
      <c r="F20" s="4" t="s">
        <v>80</v>
      </c>
      <c r="G20" s="5">
        <v>4</v>
      </c>
      <c r="H20" s="16"/>
      <c r="I20" s="3"/>
      <c r="J20" s="16" t="str">
        <f t="shared" si="0"/>
        <v/>
      </c>
      <c r="K20" s="17"/>
      <c r="L20" s="4" t="s">
        <v>81</v>
      </c>
      <c r="M20" s="1" t="str">
        <f>IFERROR(INDEX(__key!$D:$D,MATCH(O20&amp;"|"&amp;SUBSTITUTE(H20,",",";"), __key!$E:$E, 0)), "")</f>
        <v/>
      </c>
      <c r="N20" s="1" t="str">
        <f>IFERROR(INDEX(__key!$D:$D,MATCH(O20&amp;"|"&amp;SUBSTITUTE(J20,",",";"), __key!$E:$E, 0)), "")</f>
        <v/>
      </c>
      <c r="O20" s="1" t="s">
        <v>51</v>
      </c>
      <c r="P20" s="1"/>
      <c r="Q20" s="1" t="s">
        <v>41</v>
      </c>
      <c r="R20" s="1">
        <v>41117</v>
      </c>
      <c r="S20" s="1">
        <f t="shared" si="1"/>
        <v>0</v>
      </c>
      <c r="T20" s="1">
        <f t="shared" si="2"/>
        <v>0</v>
      </c>
      <c r="U20" s="1">
        <f t="shared" si="3"/>
        <v>4</v>
      </c>
      <c r="V20" s="1">
        <f t="shared" si="4"/>
        <v>100</v>
      </c>
      <c r="W20" s="1">
        <f t="shared" si="5"/>
        <v>0.04</v>
      </c>
      <c r="X20" s="1" t="str">
        <f t="shared" si="6"/>
        <v/>
      </c>
      <c r="Y20" s="1" t="b">
        <f t="shared" si="7"/>
        <v>0</v>
      </c>
      <c r="Z20" s="1" t="str">
        <f>IF(Y20, COUNTIF($Y$2:Y20, TRUE), "")</f>
        <v/>
      </c>
      <c r="AA20" s="1">
        <f t="shared" si="8"/>
        <v>4</v>
      </c>
      <c r="AB20" s="1">
        <f t="shared" si="9"/>
        <v>100</v>
      </c>
      <c r="AC20" s="1">
        <f t="shared" si="10"/>
        <v>0.04</v>
      </c>
      <c r="AD20" s="1" t="str">
        <f t="shared" si="11"/>
        <v/>
      </c>
      <c r="AE20" s="1" t="b">
        <f t="shared" si="12"/>
        <v>0</v>
      </c>
      <c r="AF20" s="1" t="b">
        <f t="shared" si="13"/>
        <v>0</v>
      </c>
      <c r="AG20" s="1" t="str">
        <f>IF(AF20, COUNTIF($AF$2:AF20, TRUE), "")</f>
        <v/>
      </c>
    </row>
    <row r="21" spans="1:33" ht="105" outlineLevel="1" x14ac:dyDescent="0.25">
      <c r="A21" s="1" t="s">
        <v>33</v>
      </c>
      <c r="B21" s="1" t="s">
        <v>34</v>
      </c>
      <c r="C21" s="1" t="s">
        <v>35</v>
      </c>
      <c r="D21" s="1" t="s">
        <v>36</v>
      </c>
      <c r="E21" s="1" t="s">
        <v>82</v>
      </c>
      <c r="F21" s="4" t="s">
        <v>83</v>
      </c>
      <c r="G21" s="5">
        <v>4</v>
      </c>
      <c r="H21" s="16"/>
      <c r="I21" s="3"/>
      <c r="J21" s="16" t="str">
        <f t="shared" si="0"/>
        <v/>
      </c>
      <c r="K21" s="17"/>
      <c r="L21" s="4" t="s">
        <v>84</v>
      </c>
      <c r="M21" s="1" t="str">
        <f>IFERROR(INDEX(__key!$D:$D,MATCH(O21&amp;"|"&amp;SUBSTITUTE(H21,",",";"), __key!$E:$E, 0)), "")</f>
        <v/>
      </c>
      <c r="N21" s="1" t="str">
        <f>IFERROR(INDEX(__key!$D:$D,MATCH(O21&amp;"|"&amp;SUBSTITUTE(J21,",",";"), __key!$E:$E, 0)), "")</f>
        <v/>
      </c>
      <c r="O21" s="1" t="s">
        <v>51</v>
      </c>
      <c r="P21" s="1"/>
      <c r="Q21" s="1" t="s">
        <v>41</v>
      </c>
      <c r="R21" s="1">
        <v>41118</v>
      </c>
      <c r="S21" s="1">
        <f t="shared" si="1"/>
        <v>0</v>
      </c>
      <c r="T21" s="1">
        <f t="shared" si="2"/>
        <v>0</v>
      </c>
      <c r="U21" s="1">
        <f t="shared" si="3"/>
        <v>4</v>
      </c>
      <c r="V21" s="1">
        <f t="shared" si="4"/>
        <v>100</v>
      </c>
      <c r="W21" s="1">
        <f t="shared" si="5"/>
        <v>0.04</v>
      </c>
      <c r="X21" s="1" t="str">
        <f t="shared" si="6"/>
        <v/>
      </c>
      <c r="Y21" s="1" t="b">
        <f t="shared" si="7"/>
        <v>0</v>
      </c>
      <c r="Z21" s="1" t="str">
        <f>IF(Y21, COUNTIF($Y$2:Y21, TRUE), "")</f>
        <v/>
      </c>
      <c r="AA21" s="1">
        <f t="shared" si="8"/>
        <v>4</v>
      </c>
      <c r="AB21" s="1">
        <f t="shared" si="9"/>
        <v>100</v>
      </c>
      <c r="AC21" s="1">
        <f t="shared" si="10"/>
        <v>0.04</v>
      </c>
      <c r="AD21" s="1" t="str">
        <f t="shared" si="11"/>
        <v/>
      </c>
      <c r="AE21" s="1" t="b">
        <f t="shared" si="12"/>
        <v>0</v>
      </c>
      <c r="AF21" s="1" t="b">
        <f t="shared" si="13"/>
        <v>0</v>
      </c>
      <c r="AG21" s="1" t="str">
        <f>IF(AF21, COUNTIF($AF$2:AF21, TRUE), "")</f>
        <v/>
      </c>
    </row>
    <row r="22" spans="1:33" ht="45" outlineLevel="1" x14ac:dyDescent="0.25">
      <c r="A22" s="1" t="s">
        <v>33</v>
      </c>
      <c r="B22" s="1" t="s">
        <v>34</v>
      </c>
      <c r="C22" s="1" t="s">
        <v>35</v>
      </c>
      <c r="D22" s="1" t="s">
        <v>36</v>
      </c>
      <c r="E22" s="1" t="s">
        <v>85</v>
      </c>
      <c r="F22" s="4" t="s">
        <v>86</v>
      </c>
      <c r="G22" s="5">
        <v>4</v>
      </c>
      <c r="H22" s="16"/>
      <c r="I22" s="3"/>
      <c r="J22" s="16" t="str">
        <f t="shared" si="0"/>
        <v/>
      </c>
      <c r="K22" s="17"/>
      <c r="L22" s="4" t="s">
        <v>87</v>
      </c>
      <c r="M22" s="1" t="str">
        <f>IFERROR(INDEX(__key!$D:$D,MATCH(O22&amp;"|"&amp;SUBSTITUTE(H22,",",";"), __key!$E:$E, 0)), "")</f>
        <v/>
      </c>
      <c r="N22" s="1" t="str">
        <f>IFERROR(INDEX(__key!$D:$D,MATCH(O22&amp;"|"&amp;SUBSTITUTE(J22,",",";"), __key!$E:$E, 0)), "")</f>
        <v/>
      </c>
      <c r="O22" s="1" t="s">
        <v>51</v>
      </c>
      <c r="P22" s="1"/>
      <c r="Q22" s="1" t="s">
        <v>41</v>
      </c>
      <c r="R22" s="1">
        <v>41119</v>
      </c>
      <c r="S22" s="1">
        <f t="shared" si="1"/>
        <v>0</v>
      </c>
      <c r="T22" s="1">
        <f t="shared" si="2"/>
        <v>0</v>
      </c>
      <c r="U22" s="1">
        <f t="shared" si="3"/>
        <v>4</v>
      </c>
      <c r="V22" s="1">
        <f t="shared" si="4"/>
        <v>100</v>
      </c>
      <c r="W22" s="1">
        <f t="shared" si="5"/>
        <v>0.04</v>
      </c>
      <c r="X22" s="1" t="str">
        <f t="shared" si="6"/>
        <v/>
      </c>
      <c r="Y22" s="1" t="b">
        <f t="shared" si="7"/>
        <v>0</v>
      </c>
      <c r="Z22" s="1" t="str">
        <f>IF(Y22, COUNTIF($Y$2:Y22, TRUE), "")</f>
        <v/>
      </c>
      <c r="AA22" s="1">
        <f t="shared" si="8"/>
        <v>4</v>
      </c>
      <c r="AB22" s="1">
        <f t="shared" si="9"/>
        <v>100</v>
      </c>
      <c r="AC22" s="1">
        <f t="shared" si="10"/>
        <v>0.04</v>
      </c>
      <c r="AD22" s="1" t="str">
        <f t="shared" si="11"/>
        <v/>
      </c>
      <c r="AE22" s="1" t="b">
        <f t="shared" si="12"/>
        <v>0</v>
      </c>
      <c r="AF22" s="1" t="b">
        <f t="shared" si="13"/>
        <v>0</v>
      </c>
      <c r="AG22" s="1" t="str">
        <f>IF(AF22, COUNTIF($AF$2:AF22, TRUE), "")</f>
        <v/>
      </c>
    </row>
    <row r="23" spans="1:33" ht="60" outlineLevel="1" x14ac:dyDescent="0.25">
      <c r="A23" s="1" t="s">
        <v>33</v>
      </c>
      <c r="B23" s="1" t="s">
        <v>34</v>
      </c>
      <c r="C23" s="1" t="s">
        <v>35</v>
      </c>
      <c r="D23" s="1" t="s">
        <v>36</v>
      </c>
      <c r="E23" s="1" t="s">
        <v>88</v>
      </c>
      <c r="F23" s="4" t="s">
        <v>89</v>
      </c>
      <c r="G23" s="5">
        <v>4</v>
      </c>
      <c r="H23" s="16"/>
      <c r="I23" s="3"/>
      <c r="J23" s="16" t="str">
        <f t="shared" si="0"/>
        <v/>
      </c>
      <c r="K23" s="17"/>
      <c r="L23" s="4" t="s">
        <v>90</v>
      </c>
      <c r="M23" s="1" t="str">
        <f>IFERROR(INDEX(__key!$D:$D,MATCH(O23&amp;"|"&amp;SUBSTITUTE(H23,",",";"), __key!$E:$E, 0)), "")</f>
        <v/>
      </c>
      <c r="N23" s="1" t="str">
        <f>IFERROR(INDEX(__key!$D:$D,MATCH(O23&amp;"|"&amp;SUBSTITUTE(J23,",",";"), __key!$E:$E, 0)), "")</f>
        <v/>
      </c>
      <c r="O23" s="1" t="s">
        <v>51</v>
      </c>
      <c r="P23" s="1"/>
      <c r="Q23" s="1" t="s">
        <v>41</v>
      </c>
      <c r="R23" s="1">
        <v>41120</v>
      </c>
      <c r="S23" s="1">
        <f t="shared" si="1"/>
        <v>0</v>
      </c>
      <c r="T23" s="1">
        <f t="shared" si="2"/>
        <v>0</v>
      </c>
      <c r="U23" s="1">
        <f t="shared" si="3"/>
        <v>4</v>
      </c>
      <c r="V23" s="1">
        <f t="shared" si="4"/>
        <v>100</v>
      </c>
      <c r="W23" s="1">
        <f t="shared" si="5"/>
        <v>0.04</v>
      </c>
      <c r="X23" s="1" t="str">
        <f t="shared" si="6"/>
        <v/>
      </c>
      <c r="Y23" s="1" t="b">
        <f t="shared" si="7"/>
        <v>0</v>
      </c>
      <c r="Z23" s="1" t="str">
        <f>IF(Y23, COUNTIF($Y$2:Y23, TRUE), "")</f>
        <v/>
      </c>
      <c r="AA23" s="1">
        <f t="shared" si="8"/>
        <v>4</v>
      </c>
      <c r="AB23" s="1">
        <f t="shared" si="9"/>
        <v>100</v>
      </c>
      <c r="AC23" s="1">
        <f t="shared" si="10"/>
        <v>0.04</v>
      </c>
      <c r="AD23" s="1" t="str">
        <f t="shared" si="11"/>
        <v/>
      </c>
      <c r="AE23" s="1" t="b">
        <f t="shared" si="12"/>
        <v>0</v>
      </c>
      <c r="AF23" s="1" t="b">
        <f t="shared" si="13"/>
        <v>0</v>
      </c>
      <c r="AG23" s="1" t="str">
        <f>IF(AF23, COUNTIF($AF$2:AF23, TRUE), "")</f>
        <v/>
      </c>
    </row>
    <row r="24" spans="1:33" ht="45" outlineLevel="1" x14ac:dyDescent="0.25">
      <c r="A24" s="1" t="s">
        <v>33</v>
      </c>
      <c r="B24" s="1" t="s">
        <v>34</v>
      </c>
      <c r="C24" s="1" t="s">
        <v>35</v>
      </c>
      <c r="D24" s="1" t="s">
        <v>36</v>
      </c>
      <c r="E24" s="1" t="s">
        <v>91</v>
      </c>
      <c r="F24" s="4" t="s">
        <v>92</v>
      </c>
      <c r="G24" s="5">
        <v>4</v>
      </c>
      <c r="H24" s="16"/>
      <c r="I24" s="3"/>
      <c r="J24" s="16" t="str">
        <f t="shared" si="0"/>
        <v/>
      </c>
      <c r="K24" s="17"/>
      <c r="L24" s="4" t="s">
        <v>93</v>
      </c>
      <c r="M24" s="1" t="str">
        <f>IFERROR(INDEX(__key!$D:$D,MATCH(O24&amp;"|"&amp;SUBSTITUTE(H24,",",";"), __key!$E:$E, 0)), "")</f>
        <v/>
      </c>
      <c r="N24" s="1" t="str">
        <f>IFERROR(INDEX(__key!$D:$D,MATCH(O24&amp;"|"&amp;SUBSTITUTE(J24,",",";"), __key!$E:$E, 0)), "")</f>
        <v/>
      </c>
      <c r="O24" s="1" t="s">
        <v>51</v>
      </c>
      <c r="P24" s="1"/>
      <c r="Q24" s="1" t="s">
        <v>41</v>
      </c>
      <c r="R24" s="1">
        <v>41121</v>
      </c>
      <c r="S24" s="1">
        <f t="shared" si="1"/>
        <v>0</v>
      </c>
      <c r="T24" s="1">
        <f t="shared" si="2"/>
        <v>0</v>
      </c>
      <c r="U24" s="1">
        <f t="shared" si="3"/>
        <v>4</v>
      </c>
      <c r="V24" s="1">
        <f t="shared" si="4"/>
        <v>100</v>
      </c>
      <c r="W24" s="1">
        <f t="shared" si="5"/>
        <v>0.04</v>
      </c>
      <c r="X24" s="1" t="str">
        <f t="shared" si="6"/>
        <v/>
      </c>
      <c r="Y24" s="1" t="b">
        <f t="shared" si="7"/>
        <v>0</v>
      </c>
      <c r="Z24" s="1" t="str">
        <f>IF(Y24, COUNTIF($Y$2:Y24, TRUE), "")</f>
        <v/>
      </c>
      <c r="AA24" s="1">
        <f t="shared" si="8"/>
        <v>4</v>
      </c>
      <c r="AB24" s="1">
        <f t="shared" si="9"/>
        <v>100</v>
      </c>
      <c r="AC24" s="1">
        <f t="shared" si="10"/>
        <v>0.04</v>
      </c>
      <c r="AD24" s="1" t="str">
        <f t="shared" si="11"/>
        <v/>
      </c>
      <c r="AE24" s="1" t="b">
        <f t="shared" si="12"/>
        <v>0</v>
      </c>
      <c r="AF24" s="1" t="b">
        <f t="shared" si="13"/>
        <v>0</v>
      </c>
      <c r="AG24" s="1" t="str">
        <f>IF(AF24, COUNTIF($AF$2:AF24, TRUE), "")</f>
        <v/>
      </c>
    </row>
    <row r="25" spans="1:33" ht="30" customHeight="1" collapsed="1" x14ac:dyDescent="0.25">
      <c r="A25" s="1"/>
      <c r="B25" s="1"/>
      <c r="C25" s="1"/>
      <c r="D25" s="1"/>
      <c r="E25" s="1"/>
      <c r="F25" s="14" t="s">
        <v>94</v>
      </c>
      <c r="G25" s="15"/>
      <c r="H25" s="14"/>
      <c r="I25" s="14"/>
      <c r="J25" s="14"/>
      <c r="K25" s="14"/>
      <c r="L25" s="14"/>
      <c r="M25" s="1"/>
      <c r="N25" s="1"/>
      <c r="O25" s="1"/>
      <c r="P25" s="1"/>
      <c r="Q25" s="1"/>
      <c r="R25" s="1"/>
      <c r="S25" s="1"/>
      <c r="T25" s="1"/>
      <c r="U25" s="1"/>
      <c r="V25" s="1"/>
      <c r="W25" s="1"/>
      <c r="X25" s="1"/>
      <c r="Y25" s="1"/>
      <c r="Z25" s="1"/>
      <c r="AA25" s="1"/>
      <c r="AB25" s="1"/>
      <c r="AC25" s="1"/>
      <c r="AD25" s="1"/>
      <c r="AE25" s="1"/>
      <c r="AF25" s="1"/>
      <c r="AG25" s="1"/>
    </row>
    <row r="26" spans="1:33" ht="30" hidden="1" outlineLevel="1" x14ac:dyDescent="0.25">
      <c r="A26" s="1" t="s">
        <v>94</v>
      </c>
      <c r="B26" s="1" t="s">
        <v>34</v>
      </c>
      <c r="C26" s="1" t="s">
        <v>35</v>
      </c>
      <c r="D26" s="1" t="s">
        <v>95</v>
      </c>
      <c r="E26" s="1" t="s">
        <v>96</v>
      </c>
      <c r="F26" s="4" t="s">
        <v>97</v>
      </c>
      <c r="G26" s="5">
        <v>15</v>
      </c>
      <c r="H26" s="16"/>
      <c r="I26" s="3"/>
      <c r="J26" s="16" t="str">
        <f t="shared" ref="J26:J35" si="14">IF(H26="","",H26)</f>
        <v/>
      </c>
      <c r="K26" s="17"/>
      <c r="L26" s="4"/>
      <c r="M26" s="1" t="str">
        <f>IFERROR(INDEX(__key!$D:$D,MATCH(O26&amp;"|"&amp;SUBSTITUTE(H26,",",";"), __key!$E:$E, 0)), "")</f>
        <v/>
      </c>
      <c r="N26" s="1" t="str">
        <f>IFERROR(INDEX(__key!$D:$D,MATCH(O26&amp;"|"&amp;SUBSTITUTE(J26,",",";"), __key!$E:$E, 0)), "")</f>
        <v/>
      </c>
      <c r="O26" s="1" t="s">
        <v>98</v>
      </c>
      <c r="P26" s="1"/>
      <c r="Q26" s="1" t="s">
        <v>41</v>
      </c>
      <c r="R26" s="1">
        <v>4121</v>
      </c>
      <c r="S26" s="1">
        <f t="shared" ref="S26:S35" si="15">IFERROR(1*M26,0)</f>
        <v>0</v>
      </c>
      <c r="T26" s="1">
        <f t="shared" ref="T26:T35" si="16">IFERROR(1*N26,0)</f>
        <v>0</v>
      </c>
      <c r="U26" s="1">
        <f t="shared" ref="U26:U35" si="17">IFERROR(IF(ISNUMBER(SEARCH("Not Relevant",H26)),0,VALUE(G26)),"")</f>
        <v>15</v>
      </c>
      <c r="V26" s="1">
        <f t="shared" ref="V26:V35" si="18">IFERROR(SUMIF($D:$D,D26,$U:$U),"")</f>
        <v>100</v>
      </c>
      <c r="W26" s="1">
        <f t="shared" ref="W26:W35" si="19">IF(OR(V26=0,V26=""),"",U26/V26)</f>
        <v>0.15</v>
      </c>
      <c r="X26" s="1" t="str">
        <f t="shared" ref="X26:X35" si="20">IF(OR(M26="",W26=""),"",VALUE(M26)*W26)</f>
        <v/>
      </c>
      <c r="Y26" s="1" t="b">
        <f t="shared" ref="Y26:Y35" si="21">IFERROR(ISNUMBER(SEARCH("Not Relevant",H26)),FALSE)</f>
        <v>0</v>
      </c>
      <c r="Z26" s="1" t="str">
        <f>IF(Y26, COUNTIF($Y$2:Y26, TRUE), "")</f>
        <v/>
      </c>
      <c r="AA26" s="1">
        <f t="shared" ref="AA26:AA35" si="22">IFERROR(IF(ISNUMBER(SEARCH("Not Relevant",J26)),0,VALUE(G26)),"")</f>
        <v>15</v>
      </c>
      <c r="AB26" s="1">
        <f t="shared" ref="AB26:AB35" si="23">IFERROR(SUMIF($D:$D,D26,$AA:$AA),"")</f>
        <v>100</v>
      </c>
      <c r="AC26" s="1">
        <f t="shared" ref="AC26:AC35" si="24">IF(OR(AB26=0,AB26=""),"",AA26/AB26)</f>
        <v>0.15</v>
      </c>
      <c r="AD26" s="1" t="str">
        <f t="shared" ref="AD26:AD35" si="25">IF(OR(N26="",AC26=""),"",VALUE(N26)*AC26)</f>
        <v/>
      </c>
      <c r="AE26" s="1" t="b">
        <f t="shared" ref="AE26:AE35" si="26">IFERROR(ISNUMBER(SEARCH("Not Relevant",J26)),FALSE)</f>
        <v>0</v>
      </c>
      <c r="AF26" s="1" t="b">
        <f t="shared" ref="AF26:AF35" si="27">IF(OR(H26="",J26=""),FALSE,IF(H26&lt;&gt;J26,TRUE,FALSE))</f>
        <v>0</v>
      </c>
      <c r="AG26" s="1" t="str">
        <f>IF(AF26, COUNTIF($AF$2:AF26, TRUE), "")</f>
        <v/>
      </c>
    </row>
    <row r="27" spans="1:33" ht="45" hidden="1" outlineLevel="1" x14ac:dyDescent="0.25">
      <c r="A27" s="1" t="s">
        <v>94</v>
      </c>
      <c r="B27" s="1" t="s">
        <v>34</v>
      </c>
      <c r="C27" s="1" t="s">
        <v>35</v>
      </c>
      <c r="D27" s="1" t="s">
        <v>95</v>
      </c>
      <c r="E27" s="1" t="s">
        <v>99</v>
      </c>
      <c r="F27" s="4" t="s">
        <v>100</v>
      </c>
      <c r="G27" s="5">
        <v>15</v>
      </c>
      <c r="H27" s="16"/>
      <c r="I27" s="3"/>
      <c r="J27" s="16" t="str">
        <f t="shared" si="14"/>
        <v/>
      </c>
      <c r="K27" s="17"/>
      <c r="L27" s="4"/>
      <c r="M27" s="1" t="str">
        <f>IFERROR(INDEX(__key!$D:$D,MATCH(O27&amp;"|"&amp;SUBSTITUTE(H27,",",";"), __key!$E:$E, 0)), "")</f>
        <v/>
      </c>
      <c r="N27" s="1" t="str">
        <f>IFERROR(INDEX(__key!$D:$D,MATCH(O27&amp;"|"&amp;SUBSTITUTE(J27,",",";"), __key!$E:$E, 0)), "")</f>
        <v/>
      </c>
      <c r="O27" s="1" t="s">
        <v>98</v>
      </c>
      <c r="P27" s="1"/>
      <c r="Q27" s="1" t="s">
        <v>41</v>
      </c>
      <c r="R27" s="1">
        <v>4122</v>
      </c>
      <c r="S27" s="1">
        <f t="shared" si="15"/>
        <v>0</v>
      </c>
      <c r="T27" s="1">
        <f t="shared" si="16"/>
        <v>0</v>
      </c>
      <c r="U27" s="1">
        <f t="shared" si="17"/>
        <v>15</v>
      </c>
      <c r="V27" s="1">
        <f t="shared" si="18"/>
        <v>100</v>
      </c>
      <c r="W27" s="1">
        <f t="shared" si="19"/>
        <v>0.15</v>
      </c>
      <c r="X27" s="1" t="str">
        <f t="shared" si="20"/>
        <v/>
      </c>
      <c r="Y27" s="1" t="b">
        <f t="shared" si="21"/>
        <v>0</v>
      </c>
      <c r="Z27" s="1" t="str">
        <f>IF(Y27, COUNTIF($Y$2:Y27, TRUE), "")</f>
        <v/>
      </c>
      <c r="AA27" s="1">
        <f t="shared" si="22"/>
        <v>15</v>
      </c>
      <c r="AB27" s="1">
        <f t="shared" si="23"/>
        <v>100</v>
      </c>
      <c r="AC27" s="1">
        <f t="shared" si="24"/>
        <v>0.15</v>
      </c>
      <c r="AD27" s="1" t="str">
        <f t="shared" si="25"/>
        <v/>
      </c>
      <c r="AE27" s="1" t="b">
        <f t="shared" si="26"/>
        <v>0</v>
      </c>
      <c r="AF27" s="1" t="b">
        <f t="shared" si="27"/>
        <v>0</v>
      </c>
      <c r="AG27" s="1" t="str">
        <f>IF(AF27, COUNTIF($AF$2:AF27, TRUE), "")</f>
        <v/>
      </c>
    </row>
    <row r="28" spans="1:33" ht="30" hidden="1" outlineLevel="1" x14ac:dyDescent="0.25">
      <c r="A28" s="1" t="s">
        <v>94</v>
      </c>
      <c r="B28" s="1" t="s">
        <v>34</v>
      </c>
      <c r="C28" s="1" t="s">
        <v>35</v>
      </c>
      <c r="D28" s="1" t="s">
        <v>95</v>
      </c>
      <c r="E28" s="1" t="s">
        <v>101</v>
      </c>
      <c r="F28" s="4" t="s">
        <v>102</v>
      </c>
      <c r="G28" s="5">
        <v>10</v>
      </c>
      <c r="H28" s="16"/>
      <c r="I28" s="3"/>
      <c r="J28" s="16" t="str">
        <f t="shared" si="14"/>
        <v/>
      </c>
      <c r="K28" s="17"/>
      <c r="L28" s="4"/>
      <c r="M28" s="1" t="str">
        <f>IFERROR(INDEX(__key!$D:$D,MATCH(O28&amp;"|"&amp;SUBSTITUTE(H28,",",";"), __key!$E:$E, 0)), "")</f>
        <v/>
      </c>
      <c r="N28" s="1" t="str">
        <f>IFERROR(INDEX(__key!$D:$D,MATCH(O28&amp;"|"&amp;SUBSTITUTE(J28,",",";"), __key!$E:$E, 0)), "")</f>
        <v/>
      </c>
      <c r="O28" s="1" t="s">
        <v>98</v>
      </c>
      <c r="P28" s="1"/>
      <c r="Q28" s="1" t="s">
        <v>41</v>
      </c>
      <c r="R28" s="1">
        <v>4123</v>
      </c>
      <c r="S28" s="1">
        <f t="shared" si="15"/>
        <v>0</v>
      </c>
      <c r="T28" s="1">
        <f t="shared" si="16"/>
        <v>0</v>
      </c>
      <c r="U28" s="1">
        <f t="shared" si="17"/>
        <v>10</v>
      </c>
      <c r="V28" s="1">
        <f t="shared" si="18"/>
        <v>100</v>
      </c>
      <c r="W28" s="1">
        <f t="shared" si="19"/>
        <v>0.1</v>
      </c>
      <c r="X28" s="1" t="str">
        <f t="shared" si="20"/>
        <v/>
      </c>
      <c r="Y28" s="1" t="b">
        <f t="shared" si="21"/>
        <v>0</v>
      </c>
      <c r="Z28" s="1" t="str">
        <f>IF(Y28, COUNTIF($Y$2:Y28, TRUE), "")</f>
        <v/>
      </c>
      <c r="AA28" s="1">
        <f t="shared" si="22"/>
        <v>10</v>
      </c>
      <c r="AB28" s="1">
        <f t="shared" si="23"/>
        <v>100</v>
      </c>
      <c r="AC28" s="1">
        <f t="shared" si="24"/>
        <v>0.1</v>
      </c>
      <c r="AD28" s="1" t="str">
        <f t="shared" si="25"/>
        <v/>
      </c>
      <c r="AE28" s="1" t="b">
        <f t="shared" si="26"/>
        <v>0</v>
      </c>
      <c r="AF28" s="1" t="b">
        <f t="shared" si="27"/>
        <v>0</v>
      </c>
      <c r="AG28" s="1" t="str">
        <f>IF(AF28, COUNTIF($AF$2:AF28, TRUE), "")</f>
        <v/>
      </c>
    </row>
    <row r="29" spans="1:33" ht="30" hidden="1" outlineLevel="1" x14ac:dyDescent="0.25">
      <c r="A29" s="1" t="s">
        <v>94</v>
      </c>
      <c r="B29" s="1" t="s">
        <v>34</v>
      </c>
      <c r="C29" s="1" t="s">
        <v>35</v>
      </c>
      <c r="D29" s="1" t="s">
        <v>95</v>
      </c>
      <c r="E29" s="1" t="s">
        <v>103</v>
      </c>
      <c r="F29" s="4" t="s">
        <v>104</v>
      </c>
      <c r="G29" s="5">
        <v>10</v>
      </c>
      <c r="H29" s="16"/>
      <c r="I29" s="3"/>
      <c r="J29" s="16" t="str">
        <f t="shared" si="14"/>
        <v/>
      </c>
      <c r="K29" s="17"/>
      <c r="L29" s="4"/>
      <c r="M29" s="1" t="str">
        <f>IFERROR(INDEX(__key!$D:$D,MATCH(O29&amp;"|"&amp;SUBSTITUTE(H29,",",";"), __key!$E:$E, 0)), "")</f>
        <v/>
      </c>
      <c r="N29" s="1" t="str">
        <f>IFERROR(INDEX(__key!$D:$D,MATCH(O29&amp;"|"&amp;SUBSTITUTE(J29,",",";"), __key!$E:$E, 0)), "")</f>
        <v/>
      </c>
      <c r="O29" s="1" t="s">
        <v>98</v>
      </c>
      <c r="P29" s="1"/>
      <c r="Q29" s="1" t="s">
        <v>41</v>
      </c>
      <c r="R29" s="1">
        <v>4124</v>
      </c>
      <c r="S29" s="1">
        <f t="shared" si="15"/>
        <v>0</v>
      </c>
      <c r="T29" s="1">
        <f t="shared" si="16"/>
        <v>0</v>
      </c>
      <c r="U29" s="1">
        <f t="shared" si="17"/>
        <v>10</v>
      </c>
      <c r="V29" s="1">
        <f t="shared" si="18"/>
        <v>100</v>
      </c>
      <c r="W29" s="1">
        <f t="shared" si="19"/>
        <v>0.1</v>
      </c>
      <c r="X29" s="1" t="str">
        <f t="shared" si="20"/>
        <v/>
      </c>
      <c r="Y29" s="1" t="b">
        <f t="shared" si="21"/>
        <v>0</v>
      </c>
      <c r="Z29" s="1" t="str">
        <f>IF(Y29, COUNTIF($Y$2:Y29, TRUE), "")</f>
        <v/>
      </c>
      <c r="AA29" s="1">
        <f t="shared" si="22"/>
        <v>10</v>
      </c>
      <c r="AB29" s="1">
        <f t="shared" si="23"/>
        <v>100</v>
      </c>
      <c r="AC29" s="1">
        <f t="shared" si="24"/>
        <v>0.1</v>
      </c>
      <c r="AD29" s="1" t="str">
        <f t="shared" si="25"/>
        <v/>
      </c>
      <c r="AE29" s="1" t="b">
        <f t="shared" si="26"/>
        <v>0</v>
      </c>
      <c r="AF29" s="1" t="b">
        <f t="shared" si="27"/>
        <v>0</v>
      </c>
      <c r="AG29" s="1" t="str">
        <f>IF(AF29, COUNTIF($AF$2:AF29, TRUE), "")</f>
        <v/>
      </c>
    </row>
    <row r="30" spans="1:33" ht="30" hidden="1" outlineLevel="1" x14ac:dyDescent="0.25">
      <c r="A30" s="1" t="s">
        <v>94</v>
      </c>
      <c r="B30" s="1" t="s">
        <v>34</v>
      </c>
      <c r="C30" s="1" t="s">
        <v>35</v>
      </c>
      <c r="D30" s="1" t="s">
        <v>95</v>
      </c>
      <c r="E30" s="1" t="s">
        <v>105</v>
      </c>
      <c r="F30" s="4" t="s">
        <v>106</v>
      </c>
      <c r="G30" s="5">
        <v>10</v>
      </c>
      <c r="H30" s="16"/>
      <c r="I30" s="3"/>
      <c r="J30" s="16" t="str">
        <f t="shared" si="14"/>
        <v/>
      </c>
      <c r="K30" s="17"/>
      <c r="L30" s="4"/>
      <c r="M30" s="1" t="str">
        <f>IFERROR(INDEX(__key!$D:$D,MATCH(O30&amp;"|"&amp;SUBSTITUTE(H30,",",";"), __key!$E:$E, 0)), "")</f>
        <v/>
      </c>
      <c r="N30" s="1" t="str">
        <f>IFERROR(INDEX(__key!$D:$D,MATCH(O30&amp;"|"&amp;SUBSTITUTE(J30,",",";"), __key!$E:$E, 0)), "")</f>
        <v/>
      </c>
      <c r="O30" s="1" t="s">
        <v>98</v>
      </c>
      <c r="P30" s="1"/>
      <c r="Q30" s="1" t="s">
        <v>41</v>
      </c>
      <c r="R30" s="1">
        <v>4125</v>
      </c>
      <c r="S30" s="1">
        <f t="shared" si="15"/>
        <v>0</v>
      </c>
      <c r="T30" s="1">
        <f t="shared" si="16"/>
        <v>0</v>
      </c>
      <c r="U30" s="1">
        <f t="shared" si="17"/>
        <v>10</v>
      </c>
      <c r="V30" s="1">
        <f t="shared" si="18"/>
        <v>100</v>
      </c>
      <c r="W30" s="1">
        <f t="shared" si="19"/>
        <v>0.1</v>
      </c>
      <c r="X30" s="1" t="str">
        <f t="shared" si="20"/>
        <v/>
      </c>
      <c r="Y30" s="1" t="b">
        <f t="shared" si="21"/>
        <v>0</v>
      </c>
      <c r="Z30" s="1" t="str">
        <f>IF(Y30, COUNTIF($Y$2:Y30, TRUE), "")</f>
        <v/>
      </c>
      <c r="AA30" s="1">
        <f t="shared" si="22"/>
        <v>10</v>
      </c>
      <c r="AB30" s="1">
        <f t="shared" si="23"/>
        <v>100</v>
      </c>
      <c r="AC30" s="1">
        <f t="shared" si="24"/>
        <v>0.1</v>
      </c>
      <c r="AD30" s="1" t="str">
        <f t="shared" si="25"/>
        <v/>
      </c>
      <c r="AE30" s="1" t="b">
        <f t="shared" si="26"/>
        <v>0</v>
      </c>
      <c r="AF30" s="1" t="b">
        <f t="shared" si="27"/>
        <v>0</v>
      </c>
      <c r="AG30" s="1" t="str">
        <f>IF(AF30, COUNTIF($AF$2:AF30, TRUE), "")</f>
        <v/>
      </c>
    </row>
    <row r="31" spans="1:33" ht="30" hidden="1" outlineLevel="1" x14ac:dyDescent="0.25">
      <c r="A31" s="1" t="s">
        <v>94</v>
      </c>
      <c r="B31" s="1" t="s">
        <v>34</v>
      </c>
      <c r="C31" s="1" t="s">
        <v>35</v>
      </c>
      <c r="D31" s="1" t="s">
        <v>95</v>
      </c>
      <c r="E31" s="1" t="s">
        <v>107</v>
      </c>
      <c r="F31" s="4" t="s">
        <v>108</v>
      </c>
      <c r="G31" s="5">
        <v>10</v>
      </c>
      <c r="H31" s="16"/>
      <c r="I31" s="3"/>
      <c r="J31" s="16" t="str">
        <f t="shared" si="14"/>
        <v/>
      </c>
      <c r="K31" s="17"/>
      <c r="L31" s="4"/>
      <c r="M31" s="1" t="str">
        <f>IFERROR(INDEX(__key!$D:$D,MATCH(O31&amp;"|"&amp;SUBSTITUTE(H31,",",";"), __key!$E:$E, 0)), "")</f>
        <v/>
      </c>
      <c r="N31" s="1" t="str">
        <f>IFERROR(INDEX(__key!$D:$D,MATCH(O31&amp;"|"&amp;SUBSTITUTE(J31,",",";"), __key!$E:$E, 0)), "")</f>
        <v/>
      </c>
      <c r="O31" s="1" t="s">
        <v>98</v>
      </c>
      <c r="P31" s="1"/>
      <c r="Q31" s="1" t="s">
        <v>41</v>
      </c>
      <c r="R31" s="1">
        <v>4126</v>
      </c>
      <c r="S31" s="1">
        <f t="shared" si="15"/>
        <v>0</v>
      </c>
      <c r="T31" s="1">
        <f t="shared" si="16"/>
        <v>0</v>
      </c>
      <c r="U31" s="1">
        <f t="shared" si="17"/>
        <v>10</v>
      </c>
      <c r="V31" s="1">
        <f t="shared" si="18"/>
        <v>100</v>
      </c>
      <c r="W31" s="1">
        <f t="shared" si="19"/>
        <v>0.1</v>
      </c>
      <c r="X31" s="1" t="str">
        <f t="shared" si="20"/>
        <v/>
      </c>
      <c r="Y31" s="1" t="b">
        <f t="shared" si="21"/>
        <v>0</v>
      </c>
      <c r="Z31" s="1" t="str">
        <f>IF(Y31, COUNTIF($Y$2:Y31, TRUE), "")</f>
        <v/>
      </c>
      <c r="AA31" s="1">
        <f t="shared" si="22"/>
        <v>10</v>
      </c>
      <c r="AB31" s="1">
        <f t="shared" si="23"/>
        <v>100</v>
      </c>
      <c r="AC31" s="1">
        <f t="shared" si="24"/>
        <v>0.1</v>
      </c>
      <c r="AD31" s="1" t="str">
        <f t="shared" si="25"/>
        <v/>
      </c>
      <c r="AE31" s="1" t="b">
        <f t="shared" si="26"/>
        <v>0</v>
      </c>
      <c r="AF31" s="1" t="b">
        <f t="shared" si="27"/>
        <v>0</v>
      </c>
      <c r="AG31" s="1" t="str">
        <f>IF(AF31, COUNTIF($AF$2:AF31, TRUE), "")</f>
        <v/>
      </c>
    </row>
    <row r="32" spans="1:33" ht="45" hidden="1" outlineLevel="1" x14ac:dyDescent="0.25">
      <c r="A32" s="1" t="s">
        <v>94</v>
      </c>
      <c r="B32" s="1" t="s">
        <v>34</v>
      </c>
      <c r="C32" s="1" t="s">
        <v>35</v>
      </c>
      <c r="D32" s="1" t="s">
        <v>95</v>
      </c>
      <c r="E32" s="1" t="s">
        <v>109</v>
      </c>
      <c r="F32" s="4" t="s">
        <v>110</v>
      </c>
      <c r="G32" s="5">
        <v>10</v>
      </c>
      <c r="H32" s="16"/>
      <c r="I32" s="3"/>
      <c r="J32" s="16" t="str">
        <f t="shared" si="14"/>
        <v/>
      </c>
      <c r="K32" s="17"/>
      <c r="L32" s="4"/>
      <c r="M32" s="1" t="str">
        <f>IFERROR(INDEX(__key!$D:$D,MATCH(O32&amp;"|"&amp;SUBSTITUTE(H32,",",";"), __key!$E:$E, 0)), "")</f>
        <v/>
      </c>
      <c r="N32" s="1" t="str">
        <f>IFERROR(INDEX(__key!$D:$D,MATCH(O32&amp;"|"&amp;SUBSTITUTE(J32,",",";"), __key!$E:$E, 0)), "")</f>
        <v/>
      </c>
      <c r="O32" s="1" t="s">
        <v>98</v>
      </c>
      <c r="P32" s="1"/>
      <c r="Q32" s="1" t="s">
        <v>41</v>
      </c>
      <c r="R32" s="1">
        <v>4127</v>
      </c>
      <c r="S32" s="1">
        <f t="shared" si="15"/>
        <v>0</v>
      </c>
      <c r="T32" s="1">
        <f t="shared" si="16"/>
        <v>0</v>
      </c>
      <c r="U32" s="1">
        <f t="shared" si="17"/>
        <v>10</v>
      </c>
      <c r="V32" s="1">
        <f t="shared" si="18"/>
        <v>100</v>
      </c>
      <c r="W32" s="1">
        <f t="shared" si="19"/>
        <v>0.1</v>
      </c>
      <c r="X32" s="1" t="str">
        <f t="shared" si="20"/>
        <v/>
      </c>
      <c r="Y32" s="1" t="b">
        <f t="shared" si="21"/>
        <v>0</v>
      </c>
      <c r="Z32" s="1" t="str">
        <f>IF(Y32, COUNTIF($Y$2:Y32, TRUE), "")</f>
        <v/>
      </c>
      <c r="AA32" s="1">
        <f t="shared" si="22"/>
        <v>10</v>
      </c>
      <c r="AB32" s="1">
        <f t="shared" si="23"/>
        <v>100</v>
      </c>
      <c r="AC32" s="1">
        <f t="shared" si="24"/>
        <v>0.1</v>
      </c>
      <c r="AD32" s="1" t="str">
        <f t="shared" si="25"/>
        <v/>
      </c>
      <c r="AE32" s="1" t="b">
        <f t="shared" si="26"/>
        <v>0</v>
      </c>
      <c r="AF32" s="1" t="b">
        <f t="shared" si="27"/>
        <v>0</v>
      </c>
      <c r="AG32" s="1" t="str">
        <f>IF(AF32, COUNTIF($AF$2:AF32, TRUE), "")</f>
        <v/>
      </c>
    </row>
    <row r="33" spans="1:33" ht="45" hidden="1" outlineLevel="1" x14ac:dyDescent="0.25">
      <c r="A33" s="1" t="s">
        <v>94</v>
      </c>
      <c r="B33" s="1" t="s">
        <v>34</v>
      </c>
      <c r="C33" s="1" t="s">
        <v>35</v>
      </c>
      <c r="D33" s="1" t="s">
        <v>95</v>
      </c>
      <c r="E33" s="1" t="s">
        <v>111</v>
      </c>
      <c r="F33" s="4" t="s">
        <v>112</v>
      </c>
      <c r="G33" s="5">
        <v>10</v>
      </c>
      <c r="H33" s="16"/>
      <c r="I33" s="3"/>
      <c r="J33" s="16" t="str">
        <f t="shared" si="14"/>
        <v/>
      </c>
      <c r="K33" s="17"/>
      <c r="L33" s="4"/>
      <c r="M33" s="1" t="str">
        <f>IFERROR(INDEX(__key!$D:$D,MATCH(O33&amp;"|"&amp;SUBSTITUTE(H33,",",";"), __key!$E:$E, 0)), "")</f>
        <v/>
      </c>
      <c r="N33" s="1" t="str">
        <f>IFERROR(INDEX(__key!$D:$D,MATCH(O33&amp;"|"&amp;SUBSTITUTE(J33,",",";"), __key!$E:$E, 0)), "")</f>
        <v/>
      </c>
      <c r="O33" s="1" t="s">
        <v>98</v>
      </c>
      <c r="P33" s="1"/>
      <c r="Q33" s="1" t="s">
        <v>41</v>
      </c>
      <c r="R33" s="1">
        <v>4128</v>
      </c>
      <c r="S33" s="1">
        <f t="shared" si="15"/>
        <v>0</v>
      </c>
      <c r="T33" s="1">
        <f t="shared" si="16"/>
        <v>0</v>
      </c>
      <c r="U33" s="1">
        <f t="shared" si="17"/>
        <v>10</v>
      </c>
      <c r="V33" s="1">
        <f t="shared" si="18"/>
        <v>100</v>
      </c>
      <c r="W33" s="1">
        <f t="shared" si="19"/>
        <v>0.1</v>
      </c>
      <c r="X33" s="1" t="str">
        <f t="shared" si="20"/>
        <v/>
      </c>
      <c r="Y33" s="1" t="b">
        <f t="shared" si="21"/>
        <v>0</v>
      </c>
      <c r="Z33" s="1" t="str">
        <f>IF(Y33, COUNTIF($Y$2:Y33, TRUE), "")</f>
        <v/>
      </c>
      <c r="AA33" s="1">
        <f t="shared" si="22"/>
        <v>10</v>
      </c>
      <c r="AB33" s="1">
        <f t="shared" si="23"/>
        <v>100</v>
      </c>
      <c r="AC33" s="1">
        <f t="shared" si="24"/>
        <v>0.1</v>
      </c>
      <c r="AD33" s="1" t="str">
        <f t="shared" si="25"/>
        <v/>
      </c>
      <c r="AE33" s="1" t="b">
        <f t="shared" si="26"/>
        <v>0</v>
      </c>
      <c r="AF33" s="1" t="b">
        <f t="shared" si="27"/>
        <v>0</v>
      </c>
      <c r="AG33" s="1" t="str">
        <f>IF(AF33, COUNTIF($AF$2:AF33, TRUE), "")</f>
        <v/>
      </c>
    </row>
    <row r="34" spans="1:33" ht="30" hidden="1" outlineLevel="1" x14ac:dyDescent="0.25">
      <c r="A34" s="1" t="s">
        <v>94</v>
      </c>
      <c r="B34" s="1" t="s">
        <v>34</v>
      </c>
      <c r="C34" s="1" t="s">
        <v>35</v>
      </c>
      <c r="D34" s="1" t="s">
        <v>95</v>
      </c>
      <c r="E34" s="1" t="s">
        <v>113</v>
      </c>
      <c r="F34" s="4" t="s">
        <v>114</v>
      </c>
      <c r="G34" s="5">
        <v>5</v>
      </c>
      <c r="H34" s="16"/>
      <c r="I34" s="3"/>
      <c r="J34" s="16" t="str">
        <f t="shared" si="14"/>
        <v/>
      </c>
      <c r="K34" s="17"/>
      <c r="L34" s="4"/>
      <c r="M34" s="1" t="str">
        <f>IFERROR(INDEX(__key!$D:$D,MATCH(O34&amp;"|"&amp;SUBSTITUTE(H34,",",";"), __key!$E:$E, 0)), "")</f>
        <v/>
      </c>
      <c r="N34" s="1" t="str">
        <f>IFERROR(INDEX(__key!$D:$D,MATCH(O34&amp;"|"&amp;SUBSTITUTE(J34,",",";"), __key!$E:$E, 0)), "")</f>
        <v/>
      </c>
      <c r="O34" s="1" t="s">
        <v>98</v>
      </c>
      <c r="P34" s="1"/>
      <c r="Q34" s="1" t="s">
        <v>41</v>
      </c>
      <c r="R34" s="1">
        <v>4129</v>
      </c>
      <c r="S34" s="1">
        <f t="shared" si="15"/>
        <v>0</v>
      </c>
      <c r="T34" s="1">
        <f t="shared" si="16"/>
        <v>0</v>
      </c>
      <c r="U34" s="1">
        <f t="shared" si="17"/>
        <v>5</v>
      </c>
      <c r="V34" s="1">
        <f t="shared" si="18"/>
        <v>100</v>
      </c>
      <c r="W34" s="1">
        <f t="shared" si="19"/>
        <v>0.05</v>
      </c>
      <c r="X34" s="1" t="str">
        <f t="shared" si="20"/>
        <v/>
      </c>
      <c r="Y34" s="1" t="b">
        <f t="shared" si="21"/>
        <v>0</v>
      </c>
      <c r="Z34" s="1" t="str">
        <f>IF(Y34, COUNTIF($Y$2:Y34, TRUE), "")</f>
        <v/>
      </c>
      <c r="AA34" s="1">
        <f t="shared" si="22"/>
        <v>5</v>
      </c>
      <c r="AB34" s="1">
        <f t="shared" si="23"/>
        <v>100</v>
      </c>
      <c r="AC34" s="1">
        <f t="shared" si="24"/>
        <v>0.05</v>
      </c>
      <c r="AD34" s="1" t="str">
        <f t="shared" si="25"/>
        <v/>
      </c>
      <c r="AE34" s="1" t="b">
        <f t="shared" si="26"/>
        <v>0</v>
      </c>
      <c r="AF34" s="1" t="b">
        <f t="shared" si="27"/>
        <v>0</v>
      </c>
      <c r="AG34" s="1" t="str">
        <f>IF(AF34, COUNTIF($AF$2:AF34, TRUE), "")</f>
        <v/>
      </c>
    </row>
    <row r="35" spans="1:33" ht="30" hidden="1" outlineLevel="1" x14ac:dyDescent="0.25">
      <c r="A35" s="1" t="s">
        <v>94</v>
      </c>
      <c r="B35" s="1" t="s">
        <v>34</v>
      </c>
      <c r="C35" s="1" t="s">
        <v>35</v>
      </c>
      <c r="D35" s="1" t="s">
        <v>95</v>
      </c>
      <c r="E35" s="1" t="s">
        <v>115</v>
      </c>
      <c r="F35" s="4" t="s">
        <v>116</v>
      </c>
      <c r="G35" s="5">
        <v>5</v>
      </c>
      <c r="H35" s="16"/>
      <c r="I35" s="3"/>
      <c r="J35" s="16" t="str">
        <f t="shared" si="14"/>
        <v/>
      </c>
      <c r="K35" s="17"/>
      <c r="L35" s="4"/>
      <c r="M35" s="1" t="str">
        <f>IFERROR(INDEX(__key!$D:$D,MATCH(O35&amp;"|"&amp;SUBSTITUTE(H35,",",";"), __key!$E:$E, 0)), "")</f>
        <v/>
      </c>
      <c r="N35" s="1" t="str">
        <f>IFERROR(INDEX(__key!$D:$D,MATCH(O35&amp;"|"&amp;SUBSTITUTE(J35,",",";"), __key!$E:$E, 0)), "")</f>
        <v/>
      </c>
      <c r="O35" s="1" t="s">
        <v>98</v>
      </c>
      <c r="P35" s="1"/>
      <c r="Q35" s="1" t="s">
        <v>41</v>
      </c>
      <c r="R35" s="1">
        <v>41210</v>
      </c>
      <c r="S35" s="1">
        <f t="shared" si="15"/>
        <v>0</v>
      </c>
      <c r="T35" s="1">
        <f t="shared" si="16"/>
        <v>0</v>
      </c>
      <c r="U35" s="1">
        <f t="shared" si="17"/>
        <v>5</v>
      </c>
      <c r="V35" s="1">
        <f t="shared" si="18"/>
        <v>100</v>
      </c>
      <c r="W35" s="1">
        <f t="shared" si="19"/>
        <v>0.05</v>
      </c>
      <c r="X35" s="1" t="str">
        <f t="shared" si="20"/>
        <v/>
      </c>
      <c r="Y35" s="1" t="b">
        <f t="shared" si="21"/>
        <v>0</v>
      </c>
      <c r="Z35" s="1" t="str">
        <f>IF(Y35, COUNTIF($Y$2:Y35, TRUE), "")</f>
        <v/>
      </c>
      <c r="AA35" s="1">
        <f t="shared" si="22"/>
        <v>5</v>
      </c>
      <c r="AB35" s="1">
        <f t="shared" si="23"/>
        <v>100</v>
      </c>
      <c r="AC35" s="1">
        <f t="shared" si="24"/>
        <v>0.05</v>
      </c>
      <c r="AD35" s="1" t="str">
        <f t="shared" si="25"/>
        <v/>
      </c>
      <c r="AE35" s="1" t="b">
        <f t="shared" si="26"/>
        <v>0</v>
      </c>
      <c r="AF35" s="1" t="b">
        <f t="shared" si="27"/>
        <v>0</v>
      </c>
      <c r="AG35" s="1" t="str">
        <f>IF(AF35, COUNTIF($AF$2:AF35, TRUE), "")</f>
        <v/>
      </c>
    </row>
    <row r="36" spans="1:33" ht="30" customHeight="1" collapsed="1" x14ac:dyDescent="0.25">
      <c r="A36" s="1"/>
      <c r="B36" s="1"/>
      <c r="C36" s="1"/>
      <c r="D36" s="1"/>
      <c r="E36" s="1"/>
      <c r="F36" s="14" t="s">
        <v>117</v>
      </c>
      <c r="G36" s="15"/>
      <c r="H36" s="14"/>
      <c r="I36" s="14"/>
      <c r="J36" s="14"/>
      <c r="K36" s="14"/>
      <c r="L36" s="14"/>
      <c r="M36" s="1"/>
      <c r="N36" s="1"/>
      <c r="O36" s="1"/>
      <c r="P36" s="1"/>
      <c r="Q36" s="1"/>
      <c r="R36" s="1"/>
      <c r="S36" s="1"/>
      <c r="T36" s="1"/>
      <c r="U36" s="1"/>
      <c r="V36" s="1"/>
      <c r="W36" s="1"/>
      <c r="X36" s="1"/>
      <c r="Y36" s="1"/>
      <c r="Z36" s="1"/>
      <c r="AA36" s="1"/>
      <c r="AB36" s="1"/>
      <c r="AC36" s="1"/>
      <c r="AD36" s="1"/>
      <c r="AE36" s="1"/>
      <c r="AF36" s="1"/>
      <c r="AG36" s="1"/>
    </row>
    <row r="37" spans="1:33" hidden="1" outlineLevel="1" x14ac:dyDescent="0.25">
      <c r="A37" s="1" t="s">
        <v>117</v>
      </c>
      <c r="B37" s="1" t="s">
        <v>34</v>
      </c>
      <c r="C37" s="1" t="s">
        <v>35</v>
      </c>
      <c r="D37" s="1" t="s">
        <v>118</v>
      </c>
      <c r="E37" s="1" t="s">
        <v>119</v>
      </c>
      <c r="F37" s="4" t="s">
        <v>120</v>
      </c>
      <c r="G37" s="5">
        <v>14.285714285714279</v>
      </c>
      <c r="H37" s="16"/>
      <c r="I37" s="3"/>
      <c r="J37" s="16" t="str">
        <f t="shared" ref="J37:J43" si="28">IF(H37="","",H37)</f>
        <v/>
      </c>
      <c r="K37" s="17"/>
      <c r="L37" s="4"/>
      <c r="M37" s="1" t="str">
        <f>IFERROR(INDEX(__key!$D:$D,MATCH(O37&amp;"|"&amp;SUBSTITUTE(H37,",",";"), __key!$E:$E, 0)), "")</f>
        <v/>
      </c>
      <c r="N37" s="1" t="str">
        <f>IFERROR(INDEX(__key!$D:$D,MATCH(O37&amp;"|"&amp;SUBSTITUTE(J37,",",";"), __key!$E:$E, 0)), "")</f>
        <v/>
      </c>
      <c r="O37" s="1" t="s">
        <v>121</v>
      </c>
      <c r="P37" s="1"/>
      <c r="Q37" s="1" t="s">
        <v>41</v>
      </c>
      <c r="R37" s="1">
        <v>4131</v>
      </c>
      <c r="S37" s="1">
        <f t="shared" ref="S37:T43" si="29">IFERROR(1*M37,0)</f>
        <v>0</v>
      </c>
      <c r="T37" s="1">
        <f t="shared" si="29"/>
        <v>0</v>
      </c>
      <c r="U37" s="1">
        <f t="shared" ref="U37:U43" si="30">IFERROR(IF(ISNUMBER(SEARCH("Not Relevant",H37)),0,VALUE(G37)),"")</f>
        <v>14.285714285714279</v>
      </c>
      <c r="V37" s="1">
        <f t="shared" ref="V37:V43" si="31">IFERROR(SUMIF($D:$D,D37,$U:$U),"")</f>
        <v>99.999999999999957</v>
      </c>
      <c r="W37" s="1">
        <f t="shared" ref="W37:W43" si="32">IF(OR(V37=0,V37=""),"",U37/V37)</f>
        <v>0.14285714285714285</v>
      </c>
      <c r="X37" s="1" t="str">
        <f t="shared" ref="X37:X43" si="33">IF(OR(M37="",W37=""),"",VALUE(M37)*W37)</f>
        <v/>
      </c>
      <c r="Y37" s="1" t="b">
        <f t="shared" ref="Y37:Y43" si="34">IFERROR(ISNUMBER(SEARCH("Not Relevant",H37)),FALSE)</f>
        <v>0</v>
      </c>
      <c r="Z37" s="1" t="str">
        <f>IF(Y37, COUNTIF($Y$2:Y37, TRUE), "")</f>
        <v/>
      </c>
      <c r="AA37" s="1">
        <f t="shared" ref="AA37:AA43" si="35">IFERROR(IF(ISNUMBER(SEARCH("Not Relevant",J37)),0,VALUE(G37)),"")</f>
        <v>14.285714285714279</v>
      </c>
      <c r="AB37" s="1">
        <f t="shared" ref="AB37:AB43" si="36">IFERROR(SUMIF($D:$D,D37,$AA:$AA),"")</f>
        <v>99.999999999999957</v>
      </c>
      <c r="AC37" s="1">
        <f t="shared" ref="AC37:AC43" si="37">IF(OR(AB37=0,AB37=""),"",AA37/AB37)</f>
        <v>0.14285714285714285</v>
      </c>
      <c r="AD37" s="1" t="str">
        <f t="shared" ref="AD37:AD43" si="38">IF(OR(N37="",AC37=""),"",VALUE(N37)*AC37)</f>
        <v/>
      </c>
      <c r="AE37" s="1" t="b">
        <f t="shared" ref="AE37:AE43" si="39">IFERROR(ISNUMBER(SEARCH("Not Relevant",J37)),FALSE)</f>
        <v>0</v>
      </c>
      <c r="AF37" s="1" t="b">
        <f t="shared" ref="AF37:AF43" si="40">IF(OR(H37="",J37=""),FALSE,IF(H37&lt;&gt;J37,TRUE,FALSE))</f>
        <v>0</v>
      </c>
      <c r="AG37" s="1" t="str">
        <f>IF(AF37, COUNTIF($AF$2:AF37, TRUE), "")</f>
        <v/>
      </c>
    </row>
    <row r="38" spans="1:33" ht="30" hidden="1" outlineLevel="1" x14ac:dyDescent="0.25">
      <c r="A38" s="1" t="s">
        <v>117</v>
      </c>
      <c r="B38" s="1" t="s">
        <v>34</v>
      </c>
      <c r="C38" s="1" t="s">
        <v>35</v>
      </c>
      <c r="D38" s="1" t="s">
        <v>118</v>
      </c>
      <c r="E38" s="1" t="s">
        <v>122</v>
      </c>
      <c r="F38" s="4" t="s">
        <v>123</v>
      </c>
      <c r="G38" s="5">
        <v>14.285714285714279</v>
      </c>
      <c r="H38" s="16"/>
      <c r="I38" s="3"/>
      <c r="J38" s="16" t="str">
        <f t="shared" si="28"/>
        <v/>
      </c>
      <c r="K38" s="17"/>
      <c r="L38" s="4" t="s">
        <v>124</v>
      </c>
      <c r="M38" s="1" t="str">
        <f>IFERROR(INDEX(__key!$D:$D,MATCH(O38&amp;"|"&amp;SUBSTITUTE(H38,",",";"), __key!$E:$E, 0)), "")</f>
        <v/>
      </c>
      <c r="N38" s="1" t="str">
        <f>IFERROR(INDEX(__key!$D:$D,MATCH(O38&amp;"|"&amp;SUBSTITUTE(J38,",",";"), __key!$E:$E, 0)), "")</f>
        <v/>
      </c>
      <c r="O38" s="1" t="s">
        <v>98</v>
      </c>
      <c r="P38" s="1"/>
      <c r="Q38" s="1" t="s">
        <v>41</v>
      </c>
      <c r="R38" s="1">
        <v>4132</v>
      </c>
      <c r="S38" s="1">
        <f t="shared" si="29"/>
        <v>0</v>
      </c>
      <c r="T38" s="1">
        <f t="shared" si="29"/>
        <v>0</v>
      </c>
      <c r="U38" s="1">
        <f t="shared" si="30"/>
        <v>14.285714285714279</v>
      </c>
      <c r="V38" s="1">
        <f t="shared" si="31"/>
        <v>99.999999999999957</v>
      </c>
      <c r="W38" s="1">
        <f t="shared" si="32"/>
        <v>0.14285714285714285</v>
      </c>
      <c r="X38" s="1" t="str">
        <f t="shared" si="33"/>
        <v/>
      </c>
      <c r="Y38" s="1" t="b">
        <f t="shared" si="34"/>
        <v>0</v>
      </c>
      <c r="Z38" s="1" t="str">
        <f>IF(Y38, COUNTIF($Y$2:Y38, TRUE), "")</f>
        <v/>
      </c>
      <c r="AA38" s="1">
        <f t="shared" si="35"/>
        <v>14.285714285714279</v>
      </c>
      <c r="AB38" s="1">
        <f t="shared" si="36"/>
        <v>99.999999999999957</v>
      </c>
      <c r="AC38" s="1">
        <f t="shared" si="37"/>
        <v>0.14285714285714285</v>
      </c>
      <c r="AD38" s="1" t="str">
        <f t="shared" si="38"/>
        <v/>
      </c>
      <c r="AE38" s="1" t="b">
        <f t="shared" si="39"/>
        <v>0</v>
      </c>
      <c r="AF38" s="1" t="b">
        <f t="shared" si="40"/>
        <v>0</v>
      </c>
      <c r="AG38" s="1" t="str">
        <f>IF(AF38, COUNTIF($AF$2:AF38, TRUE), "")</f>
        <v/>
      </c>
    </row>
    <row r="39" spans="1:33" ht="45" hidden="1" outlineLevel="1" x14ac:dyDescent="0.25">
      <c r="A39" s="1" t="s">
        <v>117</v>
      </c>
      <c r="B39" s="1" t="s">
        <v>34</v>
      </c>
      <c r="C39" s="1" t="s">
        <v>35</v>
      </c>
      <c r="D39" s="1" t="s">
        <v>118</v>
      </c>
      <c r="E39" s="1" t="s">
        <v>125</v>
      </c>
      <c r="F39" s="4" t="s">
        <v>126</v>
      </c>
      <c r="G39" s="5">
        <v>14.285714285714279</v>
      </c>
      <c r="H39" s="16"/>
      <c r="I39" s="3"/>
      <c r="J39" s="16" t="str">
        <f t="shared" si="28"/>
        <v/>
      </c>
      <c r="K39" s="17"/>
      <c r="L39" s="4" t="s">
        <v>127</v>
      </c>
      <c r="M39" s="1" t="str">
        <f>IFERROR(INDEX(__key!$D:$D,MATCH(O39&amp;"|"&amp;SUBSTITUTE(H39,",",";"), __key!$E:$E, 0)), "")</f>
        <v/>
      </c>
      <c r="N39" s="1" t="str">
        <f>IFERROR(INDEX(__key!$D:$D,MATCH(O39&amp;"|"&amp;SUBSTITUTE(J39,",",";"), __key!$E:$E, 0)), "")</f>
        <v/>
      </c>
      <c r="O39" s="1" t="s">
        <v>51</v>
      </c>
      <c r="P39" s="1"/>
      <c r="Q39" s="1" t="s">
        <v>41</v>
      </c>
      <c r="R39" s="1">
        <v>4133</v>
      </c>
      <c r="S39" s="1">
        <f t="shared" si="29"/>
        <v>0</v>
      </c>
      <c r="T39" s="1">
        <f t="shared" si="29"/>
        <v>0</v>
      </c>
      <c r="U39" s="1">
        <f t="shared" si="30"/>
        <v>14.285714285714279</v>
      </c>
      <c r="V39" s="1">
        <f t="shared" si="31"/>
        <v>99.999999999999957</v>
      </c>
      <c r="W39" s="1">
        <f t="shared" si="32"/>
        <v>0.14285714285714285</v>
      </c>
      <c r="X39" s="1" t="str">
        <f t="shared" si="33"/>
        <v/>
      </c>
      <c r="Y39" s="1" t="b">
        <f t="shared" si="34"/>
        <v>0</v>
      </c>
      <c r="Z39" s="1" t="str">
        <f>IF(Y39, COUNTIF($Y$2:Y39, TRUE), "")</f>
        <v/>
      </c>
      <c r="AA39" s="1">
        <f t="shared" si="35"/>
        <v>14.285714285714279</v>
      </c>
      <c r="AB39" s="1">
        <f t="shared" si="36"/>
        <v>99.999999999999957</v>
      </c>
      <c r="AC39" s="1">
        <f t="shared" si="37"/>
        <v>0.14285714285714285</v>
      </c>
      <c r="AD39" s="1" t="str">
        <f t="shared" si="38"/>
        <v/>
      </c>
      <c r="AE39" s="1" t="b">
        <f t="shared" si="39"/>
        <v>0</v>
      </c>
      <c r="AF39" s="1" t="b">
        <f t="shared" si="40"/>
        <v>0</v>
      </c>
      <c r="AG39" s="1" t="str">
        <f>IF(AF39, COUNTIF($AF$2:AF39, TRUE), "")</f>
        <v/>
      </c>
    </row>
    <row r="40" spans="1:33" ht="90" hidden="1" outlineLevel="1" x14ac:dyDescent="0.25">
      <c r="A40" s="1" t="s">
        <v>117</v>
      </c>
      <c r="B40" s="1" t="s">
        <v>34</v>
      </c>
      <c r="C40" s="1" t="s">
        <v>35</v>
      </c>
      <c r="D40" s="1" t="s">
        <v>118</v>
      </c>
      <c r="E40" s="1" t="s">
        <v>128</v>
      </c>
      <c r="F40" s="4" t="s">
        <v>129</v>
      </c>
      <c r="G40" s="5">
        <v>14.285714285714279</v>
      </c>
      <c r="H40" s="16"/>
      <c r="I40" s="3"/>
      <c r="J40" s="16" t="str">
        <f t="shared" si="28"/>
        <v/>
      </c>
      <c r="K40" s="17"/>
      <c r="L40" s="4" t="s">
        <v>130</v>
      </c>
      <c r="M40" s="1" t="str">
        <f>IFERROR(INDEX(__key!$D:$D,MATCH(O40&amp;"|"&amp;SUBSTITUTE(H40,",",";"), __key!$E:$E, 0)), "")</f>
        <v/>
      </c>
      <c r="N40" s="1" t="str">
        <f>IFERROR(INDEX(__key!$D:$D,MATCH(O40&amp;"|"&amp;SUBSTITUTE(J40,",",";"), __key!$E:$E, 0)), "")</f>
        <v/>
      </c>
      <c r="O40" s="1" t="s">
        <v>98</v>
      </c>
      <c r="P40" s="1"/>
      <c r="Q40" s="1" t="s">
        <v>41</v>
      </c>
      <c r="R40" s="1">
        <v>4134</v>
      </c>
      <c r="S40" s="1">
        <f t="shared" si="29"/>
        <v>0</v>
      </c>
      <c r="T40" s="1">
        <f t="shared" si="29"/>
        <v>0</v>
      </c>
      <c r="U40" s="1">
        <f t="shared" si="30"/>
        <v>14.285714285714279</v>
      </c>
      <c r="V40" s="1">
        <f t="shared" si="31"/>
        <v>99.999999999999957</v>
      </c>
      <c r="W40" s="1">
        <f t="shared" si="32"/>
        <v>0.14285714285714285</v>
      </c>
      <c r="X40" s="1" t="str">
        <f t="shared" si="33"/>
        <v/>
      </c>
      <c r="Y40" s="1" t="b">
        <f t="shared" si="34"/>
        <v>0</v>
      </c>
      <c r="Z40" s="1" t="str">
        <f>IF(Y40, COUNTIF($Y$2:Y40, TRUE), "")</f>
        <v/>
      </c>
      <c r="AA40" s="1">
        <f t="shared" si="35"/>
        <v>14.285714285714279</v>
      </c>
      <c r="AB40" s="1">
        <f t="shared" si="36"/>
        <v>99.999999999999957</v>
      </c>
      <c r="AC40" s="1">
        <f t="shared" si="37"/>
        <v>0.14285714285714285</v>
      </c>
      <c r="AD40" s="1" t="str">
        <f t="shared" si="38"/>
        <v/>
      </c>
      <c r="AE40" s="1" t="b">
        <f t="shared" si="39"/>
        <v>0</v>
      </c>
      <c r="AF40" s="1" t="b">
        <f t="shared" si="40"/>
        <v>0</v>
      </c>
      <c r="AG40" s="1" t="str">
        <f>IF(AF40, COUNTIF($AF$2:AF40, TRUE), "")</f>
        <v/>
      </c>
    </row>
    <row r="41" spans="1:33" ht="60" hidden="1" outlineLevel="1" x14ac:dyDescent="0.25">
      <c r="A41" s="1" t="s">
        <v>117</v>
      </c>
      <c r="B41" s="1" t="s">
        <v>34</v>
      </c>
      <c r="C41" s="1" t="s">
        <v>35</v>
      </c>
      <c r="D41" s="1" t="s">
        <v>118</v>
      </c>
      <c r="E41" s="1" t="s">
        <v>131</v>
      </c>
      <c r="F41" s="4" t="s">
        <v>132</v>
      </c>
      <c r="G41" s="5">
        <v>14.285714285714279</v>
      </c>
      <c r="H41" s="16"/>
      <c r="I41" s="3"/>
      <c r="J41" s="16" t="str">
        <f t="shared" si="28"/>
        <v/>
      </c>
      <c r="K41" s="17"/>
      <c r="L41" s="4" t="s">
        <v>133</v>
      </c>
      <c r="M41" s="1" t="str">
        <f>IFERROR(INDEX(__key!$D:$D,MATCH(O41&amp;"|"&amp;SUBSTITUTE(H41,",",";"), __key!$E:$E, 0)), "")</f>
        <v/>
      </c>
      <c r="N41" s="1" t="str">
        <f>IFERROR(INDEX(__key!$D:$D,MATCH(O41&amp;"|"&amp;SUBSTITUTE(J41,",",";"), __key!$E:$E, 0)), "")</f>
        <v/>
      </c>
      <c r="O41" s="1" t="s">
        <v>98</v>
      </c>
      <c r="P41" s="1"/>
      <c r="Q41" s="1" t="s">
        <v>41</v>
      </c>
      <c r="R41" s="1">
        <v>4135</v>
      </c>
      <c r="S41" s="1">
        <f t="shared" si="29"/>
        <v>0</v>
      </c>
      <c r="T41" s="1">
        <f t="shared" si="29"/>
        <v>0</v>
      </c>
      <c r="U41" s="1">
        <f t="shared" si="30"/>
        <v>14.285714285714279</v>
      </c>
      <c r="V41" s="1">
        <f t="shared" si="31"/>
        <v>99.999999999999957</v>
      </c>
      <c r="W41" s="1">
        <f t="shared" si="32"/>
        <v>0.14285714285714285</v>
      </c>
      <c r="X41" s="1" t="str">
        <f t="shared" si="33"/>
        <v/>
      </c>
      <c r="Y41" s="1" t="b">
        <f t="shared" si="34"/>
        <v>0</v>
      </c>
      <c r="Z41" s="1" t="str">
        <f>IF(Y41, COUNTIF($Y$2:Y41, TRUE), "")</f>
        <v/>
      </c>
      <c r="AA41" s="1">
        <f t="shared" si="35"/>
        <v>14.285714285714279</v>
      </c>
      <c r="AB41" s="1">
        <f t="shared" si="36"/>
        <v>99.999999999999957</v>
      </c>
      <c r="AC41" s="1">
        <f t="shared" si="37"/>
        <v>0.14285714285714285</v>
      </c>
      <c r="AD41" s="1" t="str">
        <f t="shared" si="38"/>
        <v/>
      </c>
      <c r="AE41" s="1" t="b">
        <f t="shared" si="39"/>
        <v>0</v>
      </c>
      <c r="AF41" s="1" t="b">
        <f t="shared" si="40"/>
        <v>0</v>
      </c>
      <c r="AG41" s="1" t="str">
        <f>IF(AF41, COUNTIF($AF$2:AF41, TRUE), "")</f>
        <v/>
      </c>
    </row>
    <row r="42" spans="1:33" ht="105" hidden="1" outlineLevel="1" x14ac:dyDescent="0.25">
      <c r="A42" s="1" t="s">
        <v>117</v>
      </c>
      <c r="B42" s="1" t="s">
        <v>34</v>
      </c>
      <c r="C42" s="1" t="s">
        <v>35</v>
      </c>
      <c r="D42" s="1" t="s">
        <v>118</v>
      </c>
      <c r="E42" s="1" t="s">
        <v>134</v>
      </c>
      <c r="F42" s="4" t="s">
        <v>135</v>
      </c>
      <c r="G42" s="5">
        <v>14.285714285714279</v>
      </c>
      <c r="H42" s="16"/>
      <c r="I42" s="3"/>
      <c r="J42" s="16" t="str">
        <f t="shared" si="28"/>
        <v/>
      </c>
      <c r="K42" s="17"/>
      <c r="L42" s="4" t="s">
        <v>84</v>
      </c>
      <c r="M42" s="1" t="str">
        <f>IFERROR(INDEX(__key!$D:$D,MATCH(O42&amp;"|"&amp;SUBSTITUTE(H42,",",";"), __key!$E:$E, 0)), "")</f>
        <v/>
      </c>
      <c r="N42" s="1" t="str">
        <f>IFERROR(INDEX(__key!$D:$D,MATCH(O42&amp;"|"&amp;SUBSTITUTE(J42,",",";"), __key!$E:$E, 0)), "")</f>
        <v/>
      </c>
      <c r="O42" s="1" t="s">
        <v>51</v>
      </c>
      <c r="P42" s="1"/>
      <c r="Q42" s="1" t="s">
        <v>41</v>
      </c>
      <c r="R42" s="1">
        <v>4136</v>
      </c>
      <c r="S42" s="1">
        <f t="shared" si="29"/>
        <v>0</v>
      </c>
      <c r="T42" s="1">
        <f t="shared" si="29"/>
        <v>0</v>
      </c>
      <c r="U42" s="1">
        <f t="shared" si="30"/>
        <v>14.285714285714279</v>
      </c>
      <c r="V42" s="1">
        <f t="shared" si="31"/>
        <v>99.999999999999957</v>
      </c>
      <c r="W42" s="1">
        <f t="shared" si="32"/>
        <v>0.14285714285714285</v>
      </c>
      <c r="X42" s="1" t="str">
        <f t="shared" si="33"/>
        <v/>
      </c>
      <c r="Y42" s="1" t="b">
        <f t="shared" si="34"/>
        <v>0</v>
      </c>
      <c r="Z42" s="1" t="str">
        <f>IF(Y42, COUNTIF($Y$2:Y42, TRUE), "")</f>
        <v/>
      </c>
      <c r="AA42" s="1">
        <f t="shared" si="35"/>
        <v>14.285714285714279</v>
      </c>
      <c r="AB42" s="1">
        <f t="shared" si="36"/>
        <v>99.999999999999957</v>
      </c>
      <c r="AC42" s="1">
        <f t="shared" si="37"/>
        <v>0.14285714285714285</v>
      </c>
      <c r="AD42" s="1" t="str">
        <f t="shared" si="38"/>
        <v/>
      </c>
      <c r="AE42" s="1" t="b">
        <f t="shared" si="39"/>
        <v>0</v>
      </c>
      <c r="AF42" s="1" t="b">
        <f t="shared" si="40"/>
        <v>0</v>
      </c>
      <c r="AG42" s="1" t="str">
        <f>IF(AF42, COUNTIF($AF$2:AF42, TRUE), "")</f>
        <v/>
      </c>
    </row>
    <row r="43" spans="1:33" ht="45" hidden="1" outlineLevel="1" x14ac:dyDescent="0.25">
      <c r="A43" s="1" t="s">
        <v>117</v>
      </c>
      <c r="B43" s="1" t="s">
        <v>34</v>
      </c>
      <c r="C43" s="1" t="s">
        <v>35</v>
      </c>
      <c r="D43" s="1" t="s">
        <v>118</v>
      </c>
      <c r="E43" s="1" t="s">
        <v>136</v>
      </c>
      <c r="F43" s="4" t="s">
        <v>137</v>
      </c>
      <c r="G43" s="5">
        <v>14.285714285714279</v>
      </c>
      <c r="H43" s="16"/>
      <c r="I43" s="3"/>
      <c r="J43" s="16" t="str">
        <f t="shared" si="28"/>
        <v/>
      </c>
      <c r="K43" s="17"/>
      <c r="L43" s="4" t="s">
        <v>87</v>
      </c>
      <c r="M43" s="1" t="str">
        <f>IFERROR(INDEX(__key!$D:$D,MATCH(O43&amp;"|"&amp;SUBSTITUTE(H43,",",";"), __key!$E:$E, 0)), "")</f>
        <v/>
      </c>
      <c r="N43" s="1" t="str">
        <f>IFERROR(INDEX(__key!$D:$D,MATCH(O43&amp;"|"&amp;SUBSTITUTE(J43,",",";"), __key!$E:$E, 0)), "")</f>
        <v/>
      </c>
      <c r="O43" s="1" t="s">
        <v>51</v>
      </c>
      <c r="P43" s="1"/>
      <c r="Q43" s="1" t="s">
        <v>41</v>
      </c>
      <c r="R43" s="1">
        <v>4137</v>
      </c>
      <c r="S43" s="1">
        <f t="shared" si="29"/>
        <v>0</v>
      </c>
      <c r="T43" s="1">
        <f t="shared" si="29"/>
        <v>0</v>
      </c>
      <c r="U43" s="1">
        <f t="shared" si="30"/>
        <v>14.285714285714279</v>
      </c>
      <c r="V43" s="1">
        <f t="shared" si="31"/>
        <v>99.999999999999957</v>
      </c>
      <c r="W43" s="1">
        <f t="shared" si="32"/>
        <v>0.14285714285714285</v>
      </c>
      <c r="X43" s="1" t="str">
        <f t="shared" si="33"/>
        <v/>
      </c>
      <c r="Y43" s="1" t="b">
        <f t="shared" si="34"/>
        <v>0</v>
      </c>
      <c r="Z43" s="1" t="str">
        <f>IF(Y43, COUNTIF($Y$2:Y43, TRUE), "")</f>
        <v/>
      </c>
      <c r="AA43" s="1">
        <f t="shared" si="35"/>
        <v>14.285714285714279</v>
      </c>
      <c r="AB43" s="1">
        <f t="shared" si="36"/>
        <v>99.999999999999957</v>
      </c>
      <c r="AC43" s="1">
        <f t="shared" si="37"/>
        <v>0.14285714285714285</v>
      </c>
      <c r="AD43" s="1" t="str">
        <f t="shared" si="38"/>
        <v/>
      </c>
      <c r="AE43" s="1" t="b">
        <f t="shared" si="39"/>
        <v>0</v>
      </c>
      <c r="AF43" s="1" t="b">
        <f t="shared" si="40"/>
        <v>0</v>
      </c>
      <c r="AG43" s="1" t="str">
        <f>IF(AF43, COUNTIF($AF$2:AF43, TRUE), "")</f>
        <v/>
      </c>
    </row>
    <row r="44" spans="1:33" ht="30" customHeight="1" collapsed="1" x14ac:dyDescent="0.25">
      <c r="A44" s="1"/>
      <c r="B44" s="1"/>
      <c r="C44" s="1"/>
      <c r="D44" s="1"/>
      <c r="E44" s="1"/>
      <c r="F44" s="14" t="s">
        <v>138</v>
      </c>
      <c r="G44" s="15"/>
      <c r="H44" s="14"/>
      <c r="I44" s="14"/>
      <c r="J44" s="14"/>
      <c r="K44" s="14"/>
      <c r="L44" s="14"/>
      <c r="M44" s="1"/>
      <c r="N44" s="1"/>
      <c r="O44" s="1"/>
      <c r="P44" s="1"/>
      <c r="Q44" s="1"/>
      <c r="R44" s="1"/>
      <c r="S44" s="1"/>
      <c r="T44" s="1"/>
      <c r="U44" s="1"/>
      <c r="V44" s="1"/>
      <c r="W44" s="1"/>
      <c r="X44" s="1"/>
      <c r="Y44" s="1"/>
      <c r="Z44" s="1"/>
      <c r="AA44" s="1"/>
      <c r="AB44" s="1"/>
      <c r="AC44" s="1"/>
      <c r="AD44" s="1"/>
      <c r="AE44" s="1"/>
      <c r="AF44" s="1"/>
      <c r="AG44" s="1"/>
    </row>
    <row r="45" spans="1:33" ht="30" hidden="1" outlineLevel="1" x14ac:dyDescent="0.25">
      <c r="A45" s="1" t="s">
        <v>138</v>
      </c>
      <c r="B45" s="1" t="s">
        <v>34</v>
      </c>
      <c r="C45" s="1" t="s">
        <v>35</v>
      </c>
      <c r="D45" s="1" t="s">
        <v>139</v>
      </c>
      <c r="E45" s="1" t="s">
        <v>140</v>
      </c>
      <c r="F45" s="4" t="s">
        <v>141</v>
      </c>
      <c r="G45" s="5">
        <v>7.1428571428571423</v>
      </c>
      <c r="H45" s="16"/>
      <c r="I45" s="3"/>
      <c r="J45" s="16" t="str">
        <f t="shared" ref="J45:J58" si="41">IF(H45="","",H45)</f>
        <v/>
      </c>
      <c r="K45" s="17"/>
      <c r="L45" s="4" t="s">
        <v>142</v>
      </c>
      <c r="M45" s="1" t="str">
        <f>IFERROR(INDEX(__key!$D:$D,MATCH(O45&amp;"|"&amp;SUBSTITUTE(H45,",",";"), __key!$E:$E, 0)), "")</f>
        <v/>
      </c>
      <c r="N45" s="1" t="str">
        <f>IFERROR(INDEX(__key!$D:$D,MATCH(O45&amp;"|"&amp;SUBSTITUTE(J45,",",";"), __key!$E:$E, 0)), "")</f>
        <v/>
      </c>
      <c r="O45" s="1" t="s">
        <v>121</v>
      </c>
      <c r="P45" s="1"/>
      <c r="Q45" s="1" t="s">
        <v>41</v>
      </c>
      <c r="R45" s="1">
        <v>4141</v>
      </c>
      <c r="S45" s="1">
        <f t="shared" ref="S45:S58" si="42">IFERROR(1*M45,0)</f>
        <v>0</v>
      </c>
      <c r="T45" s="1">
        <f t="shared" ref="T45:T58" si="43">IFERROR(1*N45,0)</f>
        <v>0</v>
      </c>
      <c r="U45" s="1">
        <f t="shared" ref="U45:U58" si="44">IFERROR(IF(ISNUMBER(SEARCH("Not Relevant",H45)),0,VALUE(G45)),"")</f>
        <v>7.1428571428571423</v>
      </c>
      <c r="V45" s="1">
        <f t="shared" ref="V45:V58" si="45">IFERROR(SUMIF($D:$D,D45,$U:$U),"")</f>
        <v>99.999999999999957</v>
      </c>
      <c r="W45" s="1">
        <f t="shared" ref="W45:W58" si="46">IF(OR(V45=0,V45=""),"",U45/V45)</f>
        <v>7.1428571428571452E-2</v>
      </c>
      <c r="X45" s="1" t="str">
        <f t="shared" ref="X45:X58" si="47">IF(OR(M45="",W45=""),"",VALUE(M45)*W45)</f>
        <v/>
      </c>
      <c r="Y45" s="1" t="b">
        <f t="shared" ref="Y45:Y58" si="48">IFERROR(ISNUMBER(SEARCH("Not Relevant",H45)),FALSE)</f>
        <v>0</v>
      </c>
      <c r="Z45" s="1" t="str">
        <f>IF(Y45, COUNTIF($Y$2:Y45, TRUE), "")</f>
        <v/>
      </c>
      <c r="AA45" s="1">
        <f t="shared" ref="AA45:AA58" si="49">IFERROR(IF(ISNUMBER(SEARCH("Not Relevant",J45)),0,VALUE(G45)),"")</f>
        <v>7.1428571428571423</v>
      </c>
      <c r="AB45" s="1">
        <f t="shared" ref="AB45:AB58" si="50">IFERROR(SUMIF($D:$D,D45,$AA:$AA),"")</f>
        <v>99.999999999999957</v>
      </c>
      <c r="AC45" s="1">
        <f t="shared" ref="AC45:AC58" si="51">IF(OR(AB45=0,AB45=""),"",AA45/AB45)</f>
        <v>7.1428571428571452E-2</v>
      </c>
      <c r="AD45" s="1" t="str">
        <f t="shared" ref="AD45:AD58" si="52">IF(OR(N45="",AC45=""),"",VALUE(N45)*AC45)</f>
        <v/>
      </c>
      <c r="AE45" s="1" t="b">
        <f t="shared" ref="AE45:AE58" si="53">IFERROR(ISNUMBER(SEARCH("Not Relevant",J45)),FALSE)</f>
        <v>0</v>
      </c>
      <c r="AF45" s="1" t="b">
        <f t="shared" ref="AF45:AF58" si="54">IF(OR(H45="",J45=""),FALSE,IF(H45&lt;&gt;J45,TRUE,FALSE))</f>
        <v>0</v>
      </c>
      <c r="AG45" s="1" t="str">
        <f>IF(AF45, COUNTIF($AF$2:AF45, TRUE), "")</f>
        <v/>
      </c>
    </row>
    <row r="46" spans="1:33" ht="30" hidden="1" outlineLevel="1" x14ac:dyDescent="0.25">
      <c r="A46" s="1" t="s">
        <v>138</v>
      </c>
      <c r="B46" s="1" t="s">
        <v>34</v>
      </c>
      <c r="C46" s="1" t="s">
        <v>35</v>
      </c>
      <c r="D46" s="1" t="s">
        <v>139</v>
      </c>
      <c r="E46" s="1" t="s">
        <v>143</v>
      </c>
      <c r="F46" s="4" t="s">
        <v>144</v>
      </c>
      <c r="G46" s="5">
        <v>7.1428571428571423</v>
      </c>
      <c r="H46" s="16"/>
      <c r="I46" s="3"/>
      <c r="J46" s="16" t="str">
        <f t="shared" si="41"/>
        <v/>
      </c>
      <c r="K46" s="17"/>
      <c r="L46" s="4"/>
      <c r="M46" s="1" t="str">
        <f>IFERROR(INDEX(__key!$D:$D,MATCH(O46&amp;"|"&amp;SUBSTITUTE(H46,",",";"), __key!$E:$E, 0)), "")</f>
        <v/>
      </c>
      <c r="N46" s="1" t="str">
        <f>IFERROR(INDEX(__key!$D:$D,MATCH(O46&amp;"|"&amp;SUBSTITUTE(J46,",",";"), __key!$E:$E, 0)), "")</f>
        <v/>
      </c>
      <c r="O46" s="1" t="s">
        <v>121</v>
      </c>
      <c r="P46" s="1"/>
      <c r="Q46" s="1" t="s">
        <v>41</v>
      </c>
      <c r="R46" s="1">
        <v>4142</v>
      </c>
      <c r="S46" s="1">
        <f t="shared" si="42"/>
        <v>0</v>
      </c>
      <c r="T46" s="1">
        <f t="shared" si="43"/>
        <v>0</v>
      </c>
      <c r="U46" s="1">
        <f t="shared" si="44"/>
        <v>7.1428571428571423</v>
      </c>
      <c r="V46" s="1">
        <f t="shared" si="45"/>
        <v>99.999999999999957</v>
      </c>
      <c r="W46" s="1">
        <f t="shared" si="46"/>
        <v>7.1428571428571452E-2</v>
      </c>
      <c r="X46" s="1" t="str">
        <f t="shared" si="47"/>
        <v/>
      </c>
      <c r="Y46" s="1" t="b">
        <f t="shared" si="48"/>
        <v>0</v>
      </c>
      <c r="Z46" s="1" t="str">
        <f>IF(Y46, COUNTIF($Y$2:Y46, TRUE), "")</f>
        <v/>
      </c>
      <c r="AA46" s="1">
        <f t="shared" si="49"/>
        <v>7.1428571428571423</v>
      </c>
      <c r="AB46" s="1">
        <f t="shared" si="50"/>
        <v>99.999999999999957</v>
      </c>
      <c r="AC46" s="1">
        <f t="shared" si="51"/>
        <v>7.1428571428571452E-2</v>
      </c>
      <c r="AD46" s="1" t="str">
        <f t="shared" si="52"/>
        <v/>
      </c>
      <c r="AE46" s="1" t="b">
        <f t="shared" si="53"/>
        <v>0</v>
      </c>
      <c r="AF46" s="1" t="b">
        <f t="shared" si="54"/>
        <v>0</v>
      </c>
      <c r="AG46" s="1" t="str">
        <f>IF(AF46, COUNTIF($AF$2:AF46, TRUE), "")</f>
        <v/>
      </c>
    </row>
    <row r="47" spans="1:33" ht="30" hidden="1" outlineLevel="1" x14ac:dyDescent="0.25">
      <c r="A47" s="1" t="s">
        <v>138</v>
      </c>
      <c r="B47" s="1" t="s">
        <v>34</v>
      </c>
      <c r="C47" s="1" t="s">
        <v>35</v>
      </c>
      <c r="D47" s="1" t="s">
        <v>139</v>
      </c>
      <c r="E47" s="1" t="s">
        <v>145</v>
      </c>
      <c r="F47" s="4" t="s">
        <v>146</v>
      </c>
      <c r="G47" s="5">
        <v>7.1428571428571423</v>
      </c>
      <c r="H47" s="16"/>
      <c r="I47" s="3"/>
      <c r="J47" s="16" t="str">
        <f t="shared" si="41"/>
        <v/>
      </c>
      <c r="K47" s="17"/>
      <c r="L47" s="4"/>
      <c r="M47" s="1" t="str">
        <f>IFERROR(INDEX(__key!$D:$D,MATCH(O47&amp;"|"&amp;SUBSTITUTE(H47,",",";"), __key!$E:$E, 0)), "")</f>
        <v/>
      </c>
      <c r="N47" s="1" t="str">
        <f>IFERROR(INDEX(__key!$D:$D,MATCH(O47&amp;"|"&amp;SUBSTITUTE(J47,",",";"), __key!$E:$E, 0)), "")</f>
        <v/>
      </c>
      <c r="O47" s="1" t="s">
        <v>121</v>
      </c>
      <c r="P47" s="1"/>
      <c r="Q47" s="1" t="s">
        <v>41</v>
      </c>
      <c r="R47" s="1">
        <v>4143</v>
      </c>
      <c r="S47" s="1">
        <f t="shared" si="42"/>
        <v>0</v>
      </c>
      <c r="T47" s="1">
        <f t="shared" si="43"/>
        <v>0</v>
      </c>
      <c r="U47" s="1">
        <f t="shared" si="44"/>
        <v>7.1428571428571423</v>
      </c>
      <c r="V47" s="1">
        <f t="shared" si="45"/>
        <v>99.999999999999957</v>
      </c>
      <c r="W47" s="1">
        <f t="shared" si="46"/>
        <v>7.1428571428571452E-2</v>
      </c>
      <c r="X47" s="1" t="str">
        <f t="shared" si="47"/>
        <v/>
      </c>
      <c r="Y47" s="1" t="b">
        <f t="shared" si="48"/>
        <v>0</v>
      </c>
      <c r="Z47" s="1" t="str">
        <f>IF(Y47, COUNTIF($Y$2:Y47, TRUE), "")</f>
        <v/>
      </c>
      <c r="AA47" s="1">
        <f t="shared" si="49"/>
        <v>7.1428571428571423</v>
      </c>
      <c r="AB47" s="1">
        <f t="shared" si="50"/>
        <v>99.999999999999957</v>
      </c>
      <c r="AC47" s="1">
        <f t="shared" si="51"/>
        <v>7.1428571428571452E-2</v>
      </c>
      <c r="AD47" s="1" t="str">
        <f t="shared" si="52"/>
        <v/>
      </c>
      <c r="AE47" s="1" t="b">
        <f t="shared" si="53"/>
        <v>0</v>
      </c>
      <c r="AF47" s="1" t="b">
        <f t="shared" si="54"/>
        <v>0</v>
      </c>
      <c r="AG47" s="1" t="str">
        <f>IF(AF47, COUNTIF($AF$2:AF47, TRUE), "")</f>
        <v/>
      </c>
    </row>
    <row r="48" spans="1:33" ht="30" hidden="1" outlineLevel="1" x14ac:dyDescent="0.25">
      <c r="A48" s="1" t="s">
        <v>138</v>
      </c>
      <c r="B48" s="1" t="s">
        <v>34</v>
      </c>
      <c r="C48" s="1" t="s">
        <v>35</v>
      </c>
      <c r="D48" s="1" t="s">
        <v>139</v>
      </c>
      <c r="E48" s="1" t="s">
        <v>147</v>
      </c>
      <c r="F48" s="4" t="s">
        <v>148</v>
      </c>
      <c r="G48" s="5">
        <v>7.1428571428571423</v>
      </c>
      <c r="H48" s="16"/>
      <c r="I48" s="3"/>
      <c r="J48" s="16" t="str">
        <f t="shared" si="41"/>
        <v/>
      </c>
      <c r="K48" s="17"/>
      <c r="L48" s="4"/>
      <c r="M48" s="1" t="str">
        <f>IFERROR(INDEX(__key!$D:$D,MATCH(O48&amp;"|"&amp;SUBSTITUTE(H48,",",";"), __key!$E:$E, 0)), "")</f>
        <v/>
      </c>
      <c r="N48" s="1" t="str">
        <f>IFERROR(INDEX(__key!$D:$D,MATCH(O48&amp;"|"&amp;SUBSTITUTE(J48,",",";"), __key!$E:$E, 0)), "")</f>
        <v/>
      </c>
      <c r="O48" s="1" t="s">
        <v>121</v>
      </c>
      <c r="P48" s="1"/>
      <c r="Q48" s="1" t="s">
        <v>41</v>
      </c>
      <c r="R48" s="1">
        <v>4144</v>
      </c>
      <c r="S48" s="1">
        <f t="shared" si="42"/>
        <v>0</v>
      </c>
      <c r="T48" s="1">
        <f t="shared" si="43"/>
        <v>0</v>
      </c>
      <c r="U48" s="1">
        <f t="shared" si="44"/>
        <v>7.1428571428571423</v>
      </c>
      <c r="V48" s="1">
        <f t="shared" si="45"/>
        <v>99.999999999999957</v>
      </c>
      <c r="W48" s="1">
        <f t="shared" si="46"/>
        <v>7.1428571428571452E-2</v>
      </c>
      <c r="X48" s="1" t="str">
        <f t="shared" si="47"/>
        <v/>
      </c>
      <c r="Y48" s="1" t="b">
        <f t="shared" si="48"/>
        <v>0</v>
      </c>
      <c r="Z48" s="1" t="str">
        <f>IF(Y48, COUNTIF($Y$2:Y48, TRUE), "")</f>
        <v/>
      </c>
      <c r="AA48" s="1">
        <f t="shared" si="49"/>
        <v>7.1428571428571423</v>
      </c>
      <c r="AB48" s="1">
        <f t="shared" si="50"/>
        <v>99.999999999999957</v>
      </c>
      <c r="AC48" s="1">
        <f t="shared" si="51"/>
        <v>7.1428571428571452E-2</v>
      </c>
      <c r="AD48" s="1" t="str">
        <f t="shared" si="52"/>
        <v/>
      </c>
      <c r="AE48" s="1" t="b">
        <f t="shared" si="53"/>
        <v>0</v>
      </c>
      <c r="AF48" s="1" t="b">
        <f t="shared" si="54"/>
        <v>0</v>
      </c>
      <c r="AG48" s="1" t="str">
        <f>IF(AF48, COUNTIF($AF$2:AF48, TRUE), "")</f>
        <v/>
      </c>
    </row>
    <row r="49" spans="1:33" ht="30" hidden="1" outlineLevel="1" x14ac:dyDescent="0.25">
      <c r="A49" s="1" t="s">
        <v>138</v>
      </c>
      <c r="B49" s="1" t="s">
        <v>34</v>
      </c>
      <c r="C49" s="1" t="s">
        <v>35</v>
      </c>
      <c r="D49" s="1" t="s">
        <v>139</v>
      </c>
      <c r="E49" s="1" t="s">
        <v>149</v>
      </c>
      <c r="F49" s="4" t="s">
        <v>150</v>
      </c>
      <c r="G49" s="5">
        <v>7.1428571428571423</v>
      </c>
      <c r="H49" s="16"/>
      <c r="I49" s="3"/>
      <c r="J49" s="16" t="str">
        <f t="shared" si="41"/>
        <v/>
      </c>
      <c r="K49" s="17"/>
      <c r="L49" s="4"/>
      <c r="M49" s="1" t="str">
        <f>IFERROR(INDEX(__key!$D:$D,MATCH(O49&amp;"|"&amp;SUBSTITUTE(H49,",",";"), __key!$E:$E, 0)), "")</f>
        <v/>
      </c>
      <c r="N49" s="1" t="str">
        <f>IFERROR(INDEX(__key!$D:$D,MATCH(O49&amp;"|"&amp;SUBSTITUTE(J49,",",";"), __key!$E:$E, 0)), "")</f>
        <v/>
      </c>
      <c r="O49" s="1" t="s">
        <v>121</v>
      </c>
      <c r="P49" s="1"/>
      <c r="Q49" s="1" t="s">
        <v>41</v>
      </c>
      <c r="R49" s="1">
        <v>4145</v>
      </c>
      <c r="S49" s="1">
        <f t="shared" si="42"/>
        <v>0</v>
      </c>
      <c r="T49" s="1">
        <f t="shared" si="43"/>
        <v>0</v>
      </c>
      <c r="U49" s="1">
        <f t="shared" si="44"/>
        <v>7.1428571428571423</v>
      </c>
      <c r="V49" s="1">
        <f t="shared" si="45"/>
        <v>99.999999999999957</v>
      </c>
      <c r="W49" s="1">
        <f t="shared" si="46"/>
        <v>7.1428571428571452E-2</v>
      </c>
      <c r="X49" s="1" t="str">
        <f t="shared" si="47"/>
        <v/>
      </c>
      <c r="Y49" s="1" t="b">
        <f t="shared" si="48"/>
        <v>0</v>
      </c>
      <c r="Z49" s="1" t="str">
        <f>IF(Y49, COUNTIF($Y$2:Y49, TRUE), "")</f>
        <v/>
      </c>
      <c r="AA49" s="1">
        <f t="shared" si="49"/>
        <v>7.1428571428571423</v>
      </c>
      <c r="AB49" s="1">
        <f t="shared" si="50"/>
        <v>99.999999999999957</v>
      </c>
      <c r="AC49" s="1">
        <f t="shared" si="51"/>
        <v>7.1428571428571452E-2</v>
      </c>
      <c r="AD49" s="1" t="str">
        <f t="shared" si="52"/>
        <v/>
      </c>
      <c r="AE49" s="1" t="b">
        <f t="shared" si="53"/>
        <v>0</v>
      </c>
      <c r="AF49" s="1" t="b">
        <f t="shared" si="54"/>
        <v>0</v>
      </c>
      <c r="AG49" s="1" t="str">
        <f>IF(AF49, COUNTIF($AF$2:AF49, TRUE), "")</f>
        <v/>
      </c>
    </row>
    <row r="50" spans="1:33" ht="30" hidden="1" outlineLevel="1" x14ac:dyDescent="0.25">
      <c r="A50" s="1" t="s">
        <v>138</v>
      </c>
      <c r="B50" s="1" t="s">
        <v>34</v>
      </c>
      <c r="C50" s="1" t="s">
        <v>35</v>
      </c>
      <c r="D50" s="1" t="s">
        <v>139</v>
      </c>
      <c r="E50" s="1" t="s">
        <v>151</v>
      </c>
      <c r="F50" s="4" t="s">
        <v>152</v>
      </c>
      <c r="G50" s="5">
        <v>7.1428571428571423</v>
      </c>
      <c r="H50" s="16"/>
      <c r="I50" s="3"/>
      <c r="J50" s="16" t="str">
        <f t="shared" si="41"/>
        <v/>
      </c>
      <c r="K50" s="17"/>
      <c r="L50" s="4"/>
      <c r="M50" s="1" t="str">
        <f>IFERROR(INDEX(__key!$D:$D,MATCH(O50&amp;"|"&amp;SUBSTITUTE(H50,",",";"), __key!$E:$E, 0)), "")</f>
        <v/>
      </c>
      <c r="N50" s="1" t="str">
        <f>IFERROR(INDEX(__key!$D:$D,MATCH(O50&amp;"|"&amp;SUBSTITUTE(J50,",",";"), __key!$E:$E, 0)), "")</f>
        <v/>
      </c>
      <c r="O50" s="1" t="s">
        <v>98</v>
      </c>
      <c r="P50" s="1"/>
      <c r="Q50" s="1" t="s">
        <v>41</v>
      </c>
      <c r="R50" s="1">
        <v>4146</v>
      </c>
      <c r="S50" s="1">
        <f t="shared" si="42"/>
        <v>0</v>
      </c>
      <c r="T50" s="1">
        <f t="shared" si="43"/>
        <v>0</v>
      </c>
      <c r="U50" s="1">
        <f t="shared" si="44"/>
        <v>7.1428571428571423</v>
      </c>
      <c r="V50" s="1">
        <f t="shared" si="45"/>
        <v>99.999999999999957</v>
      </c>
      <c r="W50" s="1">
        <f t="shared" si="46"/>
        <v>7.1428571428571452E-2</v>
      </c>
      <c r="X50" s="1" t="str">
        <f t="shared" si="47"/>
        <v/>
      </c>
      <c r="Y50" s="1" t="b">
        <f t="shared" si="48"/>
        <v>0</v>
      </c>
      <c r="Z50" s="1" t="str">
        <f>IF(Y50, COUNTIF($Y$2:Y50, TRUE), "")</f>
        <v/>
      </c>
      <c r="AA50" s="1">
        <f t="shared" si="49"/>
        <v>7.1428571428571423</v>
      </c>
      <c r="AB50" s="1">
        <f t="shared" si="50"/>
        <v>99.999999999999957</v>
      </c>
      <c r="AC50" s="1">
        <f t="shared" si="51"/>
        <v>7.1428571428571452E-2</v>
      </c>
      <c r="AD50" s="1" t="str">
        <f t="shared" si="52"/>
        <v/>
      </c>
      <c r="AE50" s="1" t="b">
        <f t="shared" si="53"/>
        <v>0</v>
      </c>
      <c r="AF50" s="1" t="b">
        <f t="shared" si="54"/>
        <v>0</v>
      </c>
      <c r="AG50" s="1" t="str">
        <f>IF(AF50, COUNTIF($AF$2:AF50, TRUE), "")</f>
        <v/>
      </c>
    </row>
    <row r="51" spans="1:33" ht="45" hidden="1" outlineLevel="1" x14ac:dyDescent="0.25">
      <c r="A51" s="1" t="s">
        <v>138</v>
      </c>
      <c r="B51" s="1" t="s">
        <v>34</v>
      </c>
      <c r="C51" s="1" t="s">
        <v>35</v>
      </c>
      <c r="D51" s="1" t="s">
        <v>139</v>
      </c>
      <c r="E51" s="1" t="s">
        <v>153</v>
      </c>
      <c r="F51" s="4" t="s">
        <v>100</v>
      </c>
      <c r="G51" s="5">
        <v>7.1428571428571423</v>
      </c>
      <c r="H51" s="16"/>
      <c r="I51" s="3"/>
      <c r="J51" s="16" t="str">
        <f t="shared" si="41"/>
        <v/>
      </c>
      <c r="K51" s="17"/>
      <c r="L51" s="4"/>
      <c r="M51" s="1" t="str">
        <f>IFERROR(INDEX(__key!$D:$D,MATCH(O51&amp;"|"&amp;SUBSTITUTE(H51,",",";"), __key!$E:$E, 0)), "")</f>
        <v/>
      </c>
      <c r="N51" s="1" t="str">
        <f>IFERROR(INDEX(__key!$D:$D,MATCH(O51&amp;"|"&amp;SUBSTITUTE(J51,",",";"), __key!$E:$E, 0)), "")</f>
        <v/>
      </c>
      <c r="O51" s="1" t="s">
        <v>98</v>
      </c>
      <c r="P51" s="1"/>
      <c r="Q51" s="1" t="s">
        <v>41</v>
      </c>
      <c r="R51" s="1">
        <v>4147</v>
      </c>
      <c r="S51" s="1">
        <f t="shared" si="42"/>
        <v>0</v>
      </c>
      <c r="T51" s="1">
        <f t="shared" si="43"/>
        <v>0</v>
      </c>
      <c r="U51" s="1">
        <f t="shared" si="44"/>
        <v>7.1428571428571423</v>
      </c>
      <c r="V51" s="1">
        <f t="shared" si="45"/>
        <v>99.999999999999957</v>
      </c>
      <c r="W51" s="1">
        <f t="shared" si="46"/>
        <v>7.1428571428571452E-2</v>
      </c>
      <c r="X51" s="1" t="str">
        <f t="shared" si="47"/>
        <v/>
      </c>
      <c r="Y51" s="1" t="b">
        <f t="shared" si="48"/>
        <v>0</v>
      </c>
      <c r="Z51" s="1" t="str">
        <f>IF(Y51, COUNTIF($Y$2:Y51, TRUE), "")</f>
        <v/>
      </c>
      <c r="AA51" s="1">
        <f t="shared" si="49"/>
        <v>7.1428571428571423</v>
      </c>
      <c r="AB51" s="1">
        <f t="shared" si="50"/>
        <v>99.999999999999957</v>
      </c>
      <c r="AC51" s="1">
        <f t="shared" si="51"/>
        <v>7.1428571428571452E-2</v>
      </c>
      <c r="AD51" s="1" t="str">
        <f t="shared" si="52"/>
        <v/>
      </c>
      <c r="AE51" s="1" t="b">
        <f t="shared" si="53"/>
        <v>0</v>
      </c>
      <c r="AF51" s="1" t="b">
        <f t="shared" si="54"/>
        <v>0</v>
      </c>
      <c r="AG51" s="1" t="str">
        <f>IF(AF51, COUNTIF($AF$2:AF51, TRUE), "")</f>
        <v/>
      </c>
    </row>
    <row r="52" spans="1:33" ht="45" hidden="1" outlineLevel="1" x14ac:dyDescent="0.25">
      <c r="A52" s="1" t="s">
        <v>138</v>
      </c>
      <c r="B52" s="1" t="s">
        <v>34</v>
      </c>
      <c r="C52" s="1" t="s">
        <v>35</v>
      </c>
      <c r="D52" s="1" t="s">
        <v>139</v>
      </c>
      <c r="E52" s="1" t="s">
        <v>154</v>
      </c>
      <c r="F52" s="4" t="s">
        <v>155</v>
      </c>
      <c r="G52" s="5">
        <v>7.1428571428571423</v>
      </c>
      <c r="H52" s="16"/>
      <c r="I52" s="3"/>
      <c r="J52" s="16" t="str">
        <f t="shared" si="41"/>
        <v/>
      </c>
      <c r="K52" s="17"/>
      <c r="L52" s="4"/>
      <c r="M52" s="1" t="str">
        <f>IFERROR(INDEX(__key!$D:$D,MATCH(O52&amp;"|"&amp;SUBSTITUTE(H52,",",";"), __key!$E:$E, 0)), "")</f>
        <v/>
      </c>
      <c r="N52" s="1" t="str">
        <f>IFERROR(INDEX(__key!$D:$D,MATCH(O52&amp;"|"&amp;SUBSTITUTE(J52,",",";"), __key!$E:$E, 0)), "")</f>
        <v/>
      </c>
      <c r="O52" s="1" t="s">
        <v>98</v>
      </c>
      <c r="P52" s="1"/>
      <c r="Q52" s="1" t="s">
        <v>41</v>
      </c>
      <c r="R52" s="1">
        <v>4148</v>
      </c>
      <c r="S52" s="1">
        <f t="shared" si="42"/>
        <v>0</v>
      </c>
      <c r="T52" s="1">
        <f t="shared" si="43"/>
        <v>0</v>
      </c>
      <c r="U52" s="1">
        <f t="shared" si="44"/>
        <v>7.1428571428571423</v>
      </c>
      <c r="V52" s="1">
        <f t="shared" si="45"/>
        <v>99.999999999999957</v>
      </c>
      <c r="W52" s="1">
        <f t="shared" si="46"/>
        <v>7.1428571428571452E-2</v>
      </c>
      <c r="X52" s="1" t="str">
        <f t="shared" si="47"/>
        <v/>
      </c>
      <c r="Y52" s="1" t="b">
        <f t="shared" si="48"/>
        <v>0</v>
      </c>
      <c r="Z52" s="1" t="str">
        <f>IF(Y52, COUNTIF($Y$2:Y52, TRUE), "")</f>
        <v/>
      </c>
      <c r="AA52" s="1">
        <f t="shared" si="49"/>
        <v>7.1428571428571423</v>
      </c>
      <c r="AB52" s="1">
        <f t="shared" si="50"/>
        <v>99.999999999999957</v>
      </c>
      <c r="AC52" s="1">
        <f t="shared" si="51"/>
        <v>7.1428571428571452E-2</v>
      </c>
      <c r="AD52" s="1" t="str">
        <f t="shared" si="52"/>
        <v/>
      </c>
      <c r="AE52" s="1" t="b">
        <f t="shared" si="53"/>
        <v>0</v>
      </c>
      <c r="AF52" s="1" t="b">
        <f t="shared" si="54"/>
        <v>0</v>
      </c>
      <c r="AG52" s="1" t="str">
        <f>IF(AF52, COUNTIF($AF$2:AF52, TRUE), "")</f>
        <v/>
      </c>
    </row>
    <row r="53" spans="1:33" ht="45" hidden="1" outlineLevel="1" x14ac:dyDescent="0.25">
      <c r="A53" s="1" t="s">
        <v>138</v>
      </c>
      <c r="B53" s="1" t="s">
        <v>34</v>
      </c>
      <c r="C53" s="1" t="s">
        <v>35</v>
      </c>
      <c r="D53" s="1" t="s">
        <v>139</v>
      </c>
      <c r="E53" s="1" t="s">
        <v>156</v>
      </c>
      <c r="F53" s="4" t="s">
        <v>157</v>
      </c>
      <c r="G53" s="5">
        <v>7.1428571428571423</v>
      </c>
      <c r="H53" s="16"/>
      <c r="I53" s="3"/>
      <c r="J53" s="16" t="str">
        <f t="shared" si="41"/>
        <v/>
      </c>
      <c r="K53" s="17"/>
      <c r="L53" s="4"/>
      <c r="M53" s="1" t="str">
        <f>IFERROR(INDEX(__key!$D:$D,MATCH(O53&amp;"|"&amp;SUBSTITUTE(H53,",",";"), __key!$E:$E, 0)), "")</f>
        <v/>
      </c>
      <c r="N53" s="1" t="str">
        <f>IFERROR(INDEX(__key!$D:$D,MATCH(O53&amp;"|"&amp;SUBSTITUTE(J53,",",";"), __key!$E:$E, 0)), "")</f>
        <v/>
      </c>
      <c r="O53" s="1" t="s">
        <v>98</v>
      </c>
      <c r="P53" s="1"/>
      <c r="Q53" s="1" t="s">
        <v>41</v>
      </c>
      <c r="R53" s="1">
        <v>4149</v>
      </c>
      <c r="S53" s="1">
        <f t="shared" si="42"/>
        <v>0</v>
      </c>
      <c r="T53" s="1">
        <f t="shared" si="43"/>
        <v>0</v>
      </c>
      <c r="U53" s="1">
        <f t="shared" si="44"/>
        <v>7.1428571428571423</v>
      </c>
      <c r="V53" s="1">
        <f t="shared" si="45"/>
        <v>99.999999999999957</v>
      </c>
      <c r="W53" s="1">
        <f t="shared" si="46"/>
        <v>7.1428571428571452E-2</v>
      </c>
      <c r="X53" s="1" t="str">
        <f t="shared" si="47"/>
        <v/>
      </c>
      <c r="Y53" s="1" t="b">
        <f t="shared" si="48"/>
        <v>0</v>
      </c>
      <c r="Z53" s="1" t="str">
        <f>IF(Y53, COUNTIF($Y$2:Y53, TRUE), "")</f>
        <v/>
      </c>
      <c r="AA53" s="1">
        <f t="shared" si="49"/>
        <v>7.1428571428571423</v>
      </c>
      <c r="AB53" s="1">
        <f t="shared" si="50"/>
        <v>99.999999999999957</v>
      </c>
      <c r="AC53" s="1">
        <f t="shared" si="51"/>
        <v>7.1428571428571452E-2</v>
      </c>
      <c r="AD53" s="1" t="str">
        <f t="shared" si="52"/>
        <v/>
      </c>
      <c r="AE53" s="1" t="b">
        <f t="shared" si="53"/>
        <v>0</v>
      </c>
      <c r="AF53" s="1" t="b">
        <f t="shared" si="54"/>
        <v>0</v>
      </c>
      <c r="AG53" s="1" t="str">
        <f>IF(AF53, COUNTIF($AF$2:AF53, TRUE), "")</f>
        <v/>
      </c>
    </row>
    <row r="54" spans="1:33" ht="45" hidden="1" outlineLevel="1" x14ac:dyDescent="0.25">
      <c r="A54" s="1" t="s">
        <v>138</v>
      </c>
      <c r="B54" s="1" t="s">
        <v>34</v>
      </c>
      <c r="C54" s="1" t="s">
        <v>35</v>
      </c>
      <c r="D54" s="1" t="s">
        <v>139</v>
      </c>
      <c r="E54" s="1" t="s">
        <v>158</v>
      </c>
      <c r="F54" s="4" t="s">
        <v>159</v>
      </c>
      <c r="G54" s="5">
        <v>7.1428571428571423</v>
      </c>
      <c r="H54" s="16"/>
      <c r="I54" s="3"/>
      <c r="J54" s="16" t="str">
        <f t="shared" si="41"/>
        <v/>
      </c>
      <c r="K54" s="17"/>
      <c r="L54" s="4"/>
      <c r="M54" s="1" t="str">
        <f>IFERROR(INDEX(__key!$D:$D,MATCH(O54&amp;"|"&amp;SUBSTITUTE(H54,",",";"), __key!$E:$E, 0)), "")</f>
        <v/>
      </c>
      <c r="N54" s="1" t="str">
        <f>IFERROR(INDEX(__key!$D:$D,MATCH(O54&amp;"|"&amp;SUBSTITUTE(J54,",",";"), __key!$E:$E, 0)), "")</f>
        <v/>
      </c>
      <c r="O54" s="1" t="s">
        <v>98</v>
      </c>
      <c r="P54" s="1"/>
      <c r="Q54" s="1" t="s">
        <v>41</v>
      </c>
      <c r="R54" s="1">
        <v>41410</v>
      </c>
      <c r="S54" s="1">
        <f t="shared" si="42"/>
        <v>0</v>
      </c>
      <c r="T54" s="1">
        <f t="shared" si="43"/>
        <v>0</v>
      </c>
      <c r="U54" s="1">
        <f t="shared" si="44"/>
        <v>7.1428571428571423</v>
      </c>
      <c r="V54" s="1">
        <f t="shared" si="45"/>
        <v>99.999999999999957</v>
      </c>
      <c r="W54" s="1">
        <f t="shared" si="46"/>
        <v>7.1428571428571452E-2</v>
      </c>
      <c r="X54" s="1" t="str">
        <f t="shared" si="47"/>
        <v/>
      </c>
      <c r="Y54" s="1" t="b">
        <f t="shared" si="48"/>
        <v>0</v>
      </c>
      <c r="Z54" s="1" t="str">
        <f>IF(Y54, COUNTIF($Y$2:Y54, TRUE), "")</f>
        <v/>
      </c>
      <c r="AA54" s="1">
        <f t="shared" si="49"/>
        <v>7.1428571428571423</v>
      </c>
      <c r="AB54" s="1">
        <f t="shared" si="50"/>
        <v>99.999999999999957</v>
      </c>
      <c r="AC54" s="1">
        <f t="shared" si="51"/>
        <v>7.1428571428571452E-2</v>
      </c>
      <c r="AD54" s="1" t="str">
        <f t="shared" si="52"/>
        <v/>
      </c>
      <c r="AE54" s="1" t="b">
        <f t="shared" si="53"/>
        <v>0</v>
      </c>
      <c r="AF54" s="1" t="b">
        <f t="shared" si="54"/>
        <v>0</v>
      </c>
      <c r="AG54" s="1" t="str">
        <f>IF(AF54, COUNTIF($AF$2:AF54, TRUE), "")</f>
        <v/>
      </c>
    </row>
    <row r="55" spans="1:33" ht="45" hidden="1" outlineLevel="1" x14ac:dyDescent="0.25">
      <c r="A55" s="1" t="s">
        <v>138</v>
      </c>
      <c r="B55" s="1" t="s">
        <v>34</v>
      </c>
      <c r="C55" s="1" t="s">
        <v>35</v>
      </c>
      <c r="D55" s="1" t="s">
        <v>139</v>
      </c>
      <c r="E55" s="1" t="s">
        <v>160</v>
      </c>
      <c r="F55" s="4" t="s">
        <v>161</v>
      </c>
      <c r="G55" s="5">
        <v>7.1428571428571423</v>
      </c>
      <c r="H55" s="16"/>
      <c r="I55" s="3"/>
      <c r="J55" s="16" t="str">
        <f t="shared" si="41"/>
        <v/>
      </c>
      <c r="K55" s="17"/>
      <c r="L55" s="4"/>
      <c r="M55" s="1" t="str">
        <f>IFERROR(INDEX(__key!$D:$D,MATCH(O55&amp;"|"&amp;SUBSTITUTE(H55,",",";"), __key!$E:$E, 0)), "")</f>
        <v/>
      </c>
      <c r="N55" s="1" t="str">
        <f>IFERROR(INDEX(__key!$D:$D,MATCH(O55&amp;"|"&amp;SUBSTITUTE(J55,",",";"), __key!$E:$E, 0)), "")</f>
        <v/>
      </c>
      <c r="O55" s="1" t="s">
        <v>98</v>
      </c>
      <c r="P55" s="1"/>
      <c r="Q55" s="1" t="s">
        <v>41</v>
      </c>
      <c r="R55" s="1">
        <v>41411</v>
      </c>
      <c r="S55" s="1">
        <f t="shared" si="42"/>
        <v>0</v>
      </c>
      <c r="T55" s="1">
        <f t="shared" si="43"/>
        <v>0</v>
      </c>
      <c r="U55" s="1">
        <f t="shared" si="44"/>
        <v>7.1428571428571423</v>
      </c>
      <c r="V55" s="1">
        <f t="shared" si="45"/>
        <v>99.999999999999957</v>
      </c>
      <c r="W55" s="1">
        <f t="shared" si="46"/>
        <v>7.1428571428571452E-2</v>
      </c>
      <c r="X55" s="1" t="str">
        <f t="shared" si="47"/>
        <v/>
      </c>
      <c r="Y55" s="1" t="b">
        <f t="shared" si="48"/>
        <v>0</v>
      </c>
      <c r="Z55" s="1" t="str">
        <f>IF(Y55, COUNTIF($Y$2:Y55, TRUE), "")</f>
        <v/>
      </c>
      <c r="AA55" s="1">
        <f t="shared" si="49"/>
        <v>7.1428571428571423</v>
      </c>
      <c r="AB55" s="1">
        <f t="shared" si="50"/>
        <v>99.999999999999957</v>
      </c>
      <c r="AC55" s="1">
        <f t="shared" si="51"/>
        <v>7.1428571428571452E-2</v>
      </c>
      <c r="AD55" s="1" t="str">
        <f t="shared" si="52"/>
        <v/>
      </c>
      <c r="AE55" s="1" t="b">
        <f t="shared" si="53"/>
        <v>0</v>
      </c>
      <c r="AF55" s="1" t="b">
        <f t="shared" si="54"/>
        <v>0</v>
      </c>
      <c r="AG55" s="1" t="str">
        <f>IF(AF55, COUNTIF($AF$2:AF55, TRUE), "")</f>
        <v/>
      </c>
    </row>
    <row r="56" spans="1:33" ht="60" hidden="1" outlineLevel="1" x14ac:dyDescent="0.25">
      <c r="A56" s="1" t="s">
        <v>138</v>
      </c>
      <c r="B56" s="1" t="s">
        <v>34</v>
      </c>
      <c r="C56" s="1" t="s">
        <v>35</v>
      </c>
      <c r="D56" s="1" t="s">
        <v>139</v>
      </c>
      <c r="E56" s="1" t="s">
        <v>162</v>
      </c>
      <c r="F56" s="4" t="s">
        <v>163</v>
      </c>
      <c r="G56" s="5">
        <v>7.1428571428571423</v>
      </c>
      <c r="H56" s="16"/>
      <c r="I56" s="3"/>
      <c r="J56" s="16" t="str">
        <f t="shared" si="41"/>
        <v/>
      </c>
      <c r="K56" s="17"/>
      <c r="L56" s="4"/>
      <c r="M56" s="1" t="str">
        <f>IFERROR(INDEX(__key!$D:$D,MATCH(O56&amp;"|"&amp;SUBSTITUTE(H56,",",";"), __key!$E:$E, 0)), "")</f>
        <v/>
      </c>
      <c r="N56" s="1" t="str">
        <f>IFERROR(INDEX(__key!$D:$D,MATCH(O56&amp;"|"&amp;SUBSTITUTE(J56,",",";"), __key!$E:$E, 0)), "")</f>
        <v/>
      </c>
      <c r="O56" s="1" t="s">
        <v>98</v>
      </c>
      <c r="P56" s="1"/>
      <c r="Q56" s="1" t="s">
        <v>41</v>
      </c>
      <c r="R56" s="1">
        <v>41412</v>
      </c>
      <c r="S56" s="1">
        <f t="shared" si="42"/>
        <v>0</v>
      </c>
      <c r="T56" s="1">
        <f t="shared" si="43"/>
        <v>0</v>
      </c>
      <c r="U56" s="1">
        <f t="shared" si="44"/>
        <v>7.1428571428571423</v>
      </c>
      <c r="V56" s="1">
        <f t="shared" si="45"/>
        <v>99.999999999999957</v>
      </c>
      <c r="W56" s="1">
        <f t="shared" si="46"/>
        <v>7.1428571428571452E-2</v>
      </c>
      <c r="X56" s="1" t="str">
        <f t="shared" si="47"/>
        <v/>
      </c>
      <c r="Y56" s="1" t="b">
        <f t="shared" si="48"/>
        <v>0</v>
      </c>
      <c r="Z56" s="1" t="str">
        <f>IF(Y56, COUNTIF($Y$2:Y56, TRUE), "")</f>
        <v/>
      </c>
      <c r="AA56" s="1">
        <f t="shared" si="49"/>
        <v>7.1428571428571423</v>
      </c>
      <c r="AB56" s="1">
        <f t="shared" si="50"/>
        <v>99.999999999999957</v>
      </c>
      <c r="AC56" s="1">
        <f t="shared" si="51"/>
        <v>7.1428571428571452E-2</v>
      </c>
      <c r="AD56" s="1" t="str">
        <f t="shared" si="52"/>
        <v/>
      </c>
      <c r="AE56" s="1" t="b">
        <f t="shared" si="53"/>
        <v>0</v>
      </c>
      <c r="AF56" s="1" t="b">
        <f t="shared" si="54"/>
        <v>0</v>
      </c>
      <c r="AG56" s="1" t="str">
        <f>IF(AF56, COUNTIF($AF$2:AF56, TRUE), "")</f>
        <v/>
      </c>
    </row>
    <row r="57" spans="1:33" ht="30" hidden="1" outlineLevel="1" x14ac:dyDescent="0.25">
      <c r="A57" s="1" t="s">
        <v>138</v>
      </c>
      <c r="B57" s="1" t="s">
        <v>34</v>
      </c>
      <c r="C57" s="1" t="s">
        <v>35</v>
      </c>
      <c r="D57" s="1" t="s">
        <v>139</v>
      </c>
      <c r="E57" s="1" t="s">
        <v>164</v>
      </c>
      <c r="F57" s="4" t="s">
        <v>165</v>
      </c>
      <c r="G57" s="5">
        <v>7.1428571428571423</v>
      </c>
      <c r="H57" s="16"/>
      <c r="I57" s="3"/>
      <c r="J57" s="16" t="str">
        <f t="shared" si="41"/>
        <v/>
      </c>
      <c r="K57" s="17"/>
      <c r="L57" s="4"/>
      <c r="M57" s="1" t="str">
        <f>IFERROR(INDEX(__key!$D:$D,MATCH(O57&amp;"|"&amp;SUBSTITUTE(H57,",",";"), __key!$E:$E, 0)), "")</f>
        <v/>
      </c>
      <c r="N57" s="1" t="str">
        <f>IFERROR(INDEX(__key!$D:$D,MATCH(O57&amp;"|"&amp;SUBSTITUTE(J57,",",";"), __key!$E:$E, 0)), "")</f>
        <v/>
      </c>
      <c r="O57" s="1" t="s">
        <v>51</v>
      </c>
      <c r="P57" s="1"/>
      <c r="Q57" s="1" t="s">
        <v>41</v>
      </c>
      <c r="R57" s="1">
        <v>41413</v>
      </c>
      <c r="S57" s="1">
        <f t="shared" si="42"/>
        <v>0</v>
      </c>
      <c r="T57" s="1">
        <f t="shared" si="43"/>
        <v>0</v>
      </c>
      <c r="U57" s="1">
        <f t="shared" si="44"/>
        <v>7.1428571428571423</v>
      </c>
      <c r="V57" s="1">
        <f t="shared" si="45"/>
        <v>99.999999999999957</v>
      </c>
      <c r="W57" s="1">
        <f t="shared" si="46"/>
        <v>7.1428571428571452E-2</v>
      </c>
      <c r="X57" s="1" t="str">
        <f t="shared" si="47"/>
        <v/>
      </c>
      <c r="Y57" s="1" t="b">
        <f t="shared" si="48"/>
        <v>0</v>
      </c>
      <c r="Z57" s="1" t="str">
        <f>IF(Y57, COUNTIF($Y$2:Y57, TRUE), "")</f>
        <v/>
      </c>
      <c r="AA57" s="1">
        <f t="shared" si="49"/>
        <v>7.1428571428571423</v>
      </c>
      <c r="AB57" s="1">
        <f t="shared" si="50"/>
        <v>99.999999999999957</v>
      </c>
      <c r="AC57" s="1">
        <f t="shared" si="51"/>
        <v>7.1428571428571452E-2</v>
      </c>
      <c r="AD57" s="1" t="str">
        <f t="shared" si="52"/>
        <v/>
      </c>
      <c r="AE57" s="1" t="b">
        <f t="shared" si="53"/>
        <v>0</v>
      </c>
      <c r="AF57" s="1" t="b">
        <f t="shared" si="54"/>
        <v>0</v>
      </c>
      <c r="AG57" s="1" t="str">
        <f>IF(AF57, COUNTIF($AF$2:AF57, TRUE), "")</f>
        <v/>
      </c>
    </row>
    <row r="58" spans="1:33" ht="45" hidden="1" outlineLevel="1" x14ac:dyDescent="0.25">
      <c r="A58" s="1" t="s">
        <v>138</v>
      </c>
      <c r="B58" s="1" t="s">
        <v>34</v>
      </c>
      <c r="C58" s="1" t="s">
        <v>35</v>
      </c>
      <c r="D58" s="1" t="s">
        <v>139</v>
      </c>
      <c r="E58" s="1" t="s">
        <v>166</v>
      </c>
      <c r="F58" s="4" t="s">
        <v>167</v>
      </c>
      <c r="G58" s="5">
        <v>7.1428571428571423</v>
      </c>
      <c r="H58" s="16"/>
      <c r="I58" s="3"/>
      <c r="J58" s="16" t="str">
        <f t="shared" si="41"/>
        <v/>
      </c>
      <c r="K58" s="17"/>
      <c r="L58" s="4"/>
      <c r="M58" s="1" t="str">
        <f>IFERROR(INDEX(__key!$D:$D,MATCH(O58&amp;"|"&amp;SUBSTITUTE(H58,",",";"), __key!$E:$E, 0)), "")</f>
        <v/>
      </c>
      <c r="N58" s="1" t="str">
        <f>IFERROR(INDEX(__key!$D:$D,MATCH(O58&amp;"|"&amp;SUBSTITUTE(J58,",",";"), __key!$E:$E, 0)), "")</f>
        <v/>
      </c>
      <c r="O58" s="1" t="s">
        <v>51</v>
      </c>
      <c r="P58" s="1"/>
      <c r="Q58" s="1" t="s">
        <v>41</v>
      </c>
      <c r="R58" s="1">
        <v>41414</v>
      </c>
      <c r="S58" s="1">
        <f t="shared" si="42"/>
        <v>0</v>
      </c>
      <c r="T58" s="1">
        <f t="shared" si="43"/>
        <v>0</v>
      </c>
      <c r="U58" s="1">
        <f t="shared" si="44"/>
        <v>7.1428571428571423</v>
      </c>
      <c r="V58" s="1">
        <f t="shared" si="45"/>
        <v>99.999999999999957</v>
      </c>
      <c r="W58" s="1">
        <f t="shared" si="46"/>
        <v>7.1428571428571452E-2</v>
      </c>
      <c r="X58" s="1" t="str">
        <f t="shared" si="47"/>
        <v/>
      </c>
      <c r="Y58" s="1" t="b">
        <f t="shared" si="48"/>
        <v>0</v>
      </c>
      <c r="Z58" s="1" t="str">
        <f>IF(Y58, COUNTIF($Y$2:Y58, TRUE), "")</f>
        <v/>
      </c>
      <c r="AA58" s="1">
        <f t="shared" si="49"/>
        <v>7.1428571428571423</v>
      </c>
      <c r="AB58" s="1">
        <f t="shared" si="50"/>
        <v>99.999999999999957</v>
      </c>
      <c r="AC58" s="1">
        <f t="shared" si="51"/>
        <v>7.1428571428571452E-2</v>
      </c>
      <c r="AD58" s="1" t="str">
        <f t="shared" si="52"/>
        <v/>
      </c>
      <c r="AE58" s="1" t="b">
        <f t="shared" si="53"/>
        <v>0</v>
      </c>
      <c r="AF58" s="1" t="b">
        <f t="shared" si="54"/>
        <v>0</v>
      </c>
      <c r="AG58" s="1" t="str">
        <f>IF(AF58, COUNTIF($AF$2:AF58, TRUE), "")</f>
        <v/>
      </c>
    </row>
    <row r="59" spans="1:33" ht="30" customHeight="1" collapsed="1" x14ac:dyDescent="0.25">
      <c r="A59" s="1"/>
      <c r="B59" s="1"/>
      <c r="C59" s="1"/>
      <c r="D59" s="1"/>
      <c r="E59" s="1"/>
      <c r="F59" s="14" t="s">
        <v>168</v>
      </c>
      <c r="G59" s="15"/>
      <c r="H59" s="14"/>
      <c r="I59" s="14"/>
      <c r="J59" s="14"/>
      <c r="K59" s="14"/>
      <c r="L59" s="14"/>
      <c r="M59" s="1"/>
      <c r="N59" s="1"/>
      <c r="O59" s="1"/>
      <c r="P59" s="1"/>
      <c r="Q59" s="1"/>
      <c r="R59" s="1"/>
      <c r="S59" s="1"/>
      <c r="T59" s="1"/>
      <c r="U59" s="1"/>
      <c r="V59" s="1"/>
      <c r="W59" s="1"/>
      <c r="X59" s="1"/>
      <c r="Y59" s="1"/>
      <c r="Z59" s="1"/>
      <c r="AA59" s="1"/>
      <c r="AB59" s="1"/>
      <c r="AC59" s="1"/>
      <c r="AD59" s="1"/>
      <c r="AE59" s="1"/>
      <c r="AF59" s="1"/>
      <c r="AG59" s="1"/>
    </row>
    <row r="60" spans="1:33" ht="45" hidden="1" outlineLevel="1" x14ac:dyDescent="0.25">
      <c r="A60" s="1" t="s">
        <v>168</v>
      </c>
      <c r="B60" s="1" t="s">
        <v>34</v>
      </c>
      <c r="C60" s="1" t="s">
        <v>35</v>
      </c>
      <c r="D60" s="1" t="s">
        <v>169</v>
      </c>
      <c r="E60" s="1" t="s">
        <v>170</v>
      </c>
      <c r="F60" s="4" t="s">
        <v>171</v>
      </c>
      <c r="G60" s="5">
        <v>9.0909090909090917</v>
      </c>
      <c r="H60" s="16"/>
      <c r="I60" s="3"/>
      <c r="J60" s="16" t="str">
        <f t="shared" ref="J60:J70" si="55">IF(H60="","",H60)</f>
        <v/>
      </c>
      <c r="K60" s="17"/>
      <c r="L60" s="4" t="s">
        <v>172</v>
      </c>
      <c r="M60" s="1" t="str">
        <f>IFERROR(INDEX(__key!$D:$D,MATCH(O60&amp;"|"&amp;SUBSTITUTE(H60,",",";"), __key!$E:$E, 0)), "")</f>
        <v/>
      </c>
      <c r="N60" s="1" t="str">
        <f>IFERROR(INDEX(__key!$D:$D,MATCH(O60&amp;"|"&amp;SUBSTITUTE(J60,",",";"), __key!$E:$E, 0)), "")</f>
        <v/>
      </c>
      <c r="O60" s="1" t="s">
        <v>121</v>
      </c>
      <c r="P60" s="1"/>
      <c r="Q60" s="1" t="s">
        <v>41</v>
      </c>
      <c r="R60" s="1">
        <v>4151</v>
      </c>
      <c r="S60" s="1">
        <f t="shared" ref="S60:S70" si="56">IFERROR(1*M60,0)</f>
        <v>0</v>
      </c>
      <c r="T60" s="1">
        <f t="shared" ref="T60:T70" si="57">IFERROR(1*N60,0)</f>
        <v>0</v>
      </c>
      <c r="U60" s="1">
        <f t="shared" ref="U60:U70" si="58">IFERROR(IF(ISNUMBER(SEARCH("Not Relevant",H60)),0,VALUE(G60)),"")</f>
        <v>9.0909090909090917</v>
      </c>
      <c r="V60" s="1">
        <f t="shared" ref="V60:V70" si="59">IFERROR(SUMIF($D:$D,D60,$U:$U),"")</f>
        <v>100.00000000000001</v>
      </c>
      <c r="W60" s="1">
        <f t="shared" ref="W60:W70" si="60">IF(OR(V60=0,V60=""),"",U60/V60)</f>
        <v>9.0909090909090898E-2</v>
      </c>
      <c r="X60" s="1" t="str">
        <f t="shared" ref="X60:X70" si="61">IF(OR(M60="",W60=""),"",VALUE(M60)*W60)</f>
        <v/>
      </c>
      <c r="Y60" s="1" t="b">
        <f t="shared" ref="Y60:Y70" si="62">IFERROR(ISNUMBER(SEARCH("Not Relevant",H60)),FALSE)</f>
        <v>0</v>
      </c>
      <c r="Z60" s="1" t="str">
        <f>IF(Y60, COUNTIF($Y$2:Y60, TRUE), "")</f>
        <v/>
      </c>
      <c r="AA60" s="1">
        <f t="shared" ref="AA60:AA70" si="63">IFERROR(IF(ISNUMBER(SEARCH("Not Relevant",J60)),0,VALUE(G60)),"")</f>
        <v>9.0909090909090917</v>
      </c>
      <c r="AB60" s="1">
        <f t="shared" ref="AB60:AB70" si="64">IFERROR(SUMIF($D:$D,D60,$AA:$AA),"")</f>
        <v>100.00000000000001</v>
      </c>
      <c r="AC60" s="1">
        <f t="shared" ref="AC60:AC70" si="65">IF(OR(AB60=0,AB60=""),"",AA60/AB60)</f>
        <v>9.0909090909090898E-2</v>
      </c>
      <c r="AD60" s="1" t="str">
        <f t="shared" ref="AD60:AD70" si="66">IF(OR(N60="",AC60=""),"",VALUE(N60)*AC60)</f>
        <v/>
      </c>
      <c r="AE60" s="1" t="b">
        <f t="shared" ref="AE60:AE70" si="67">IFERROR(ISNUMBER(SEARCH("Not Relevant",J60)),FALSE)</f>
        <v>0</v>
      </c>
      <c r="AF60" s="1" t="b">
        <f t="shared" ref="AF60:AF70" si="68">IF(OR(H60="",J60=""),FALSE,IF(H60&lt;&gt;J60,TRUE,FALSE))</f>
        <v>0</v>
      </c>
      <c r="AG60" s="1" t="str">
        <f>IF(AF60, COUNTIF($AF$2:AF60, TRUE), "")</f>
        <v/>
      </c>
    </row>
    <row r="61" spans="1:33" ht="45" hidden="1" outlineLevel="1" x14ac:dyDescent="0.25">
      <c r="A61" s="1" t="s">
        <v>168</v>
      </c>
      <c r="B61" s="1" t="s">
        <v>34</v>
      </c>
      <c r="C61" s="1" t="s">
        <v>35</v>
      </c>
      <c r="D61" s="1" t="s">
        <v>169</v>
      </c>
      <c r="E61" s="1" t="s">
        <v>173</v>
      </c>
      <c r="F61" s="4" t="s">
        <v>174</v>
      </c>
      <c r="G61" s="5">
        <v>9.0909090909090917</v>
      </c>
      <c r="H61" s="16"/>
      <c r="I61" s="3"/>
      <c r="J61" s="16" t="str">
        <f t="shared" si="55"/>
        <v/>
      </c>
      <c r="K61" s="17"/>
      <c r="L61" s="4" t="s">
        <v>175</v>
      </c>
      <c r="M61" s="1" t="str">
        <f>IFERROR(INDEX(__key!$D:$D,MATCH(O61&amp;"|"&amp;SUBSTITUTE(H61,",",";"), __key!$E:$E, 0)), "")</f>
        <v/>
      </c>
      <c r="N61" s="1" t="str">
        <f>IFERROR(INDEX(__key!$D:$D,MATCH(O61&amp;"|"&amp;SUBSTITUTE(J61,",",";"), __key!$E:$E, 0)), "")</f>
        <v/>
      </c>
      <c r="O61" s="1" t="s">
        <v>98</v>
      </c>
      <c r="P61" s="1"/>
      <c r="Q61" s="1" t="s">
        <v>41</v>
      </c>
      <c r="R61" s="1">
        <v>4152</v>
      </c>
      <c r="S61" s="1">
        <f t="shared" si="56"/>
        <v>0</v>
      </c>
      <c r="T61" s="1">
        <f t="shared" si="57"/>
        <v>0</v>
      </c>
      <c r="U61" s="1">
        <f t="shared" si="58"/>
        <v>9.0909090909090917</v>
      </c>
      <c r="V61" s="1">
        <f t="shared" si="59"/>
        <v>100.00000000000001</v>
      </c>
      <c r="W61" s="1">
        <f t="shared" si="60"/>
        <v>9.0909090909090898E-2</v>
      </c>
      <c r="X61" s="1" t="str">
        <f t="shared" si="61"/>
        <v/>
      </c>
      <c r="Y61" s="1" t="b">
        <f t="shared" si="62"/>
        <v>0</v>
      </c>
      <c r="Z61" s="1" t="str">
        <f>IF(Y61, COUNTIF($Y$2:Y61, TRUE), "")</f>
        <v/>
      </c>
      <c r="AA61" s="1">
        <f t="shared" si="63"/>
        <v>9.0909090909090917</v>
      </c>
      <c r="AB61" s="1">
        <f t="shared" si="64"/>
        <v>100.00000000000001</v>
      </c>
      <c r="AC61" s="1">
        <f t="shared" si="65"/>
        <v>9.0909090909090898E-2</v>
      </c>
      <c r="AD61" s="1" t="str">
        <f t="shared" si="66"/>
        <v/>
      </c>
      <c r="AE61" s="1" t="b">
        <f t="shared" si="67"/>
        <v>0</v>
      </c>
      <c r="AF61" s="1" t="b">
        <f t="shared" si="68"/>
        <v>0</v>
      </c>
      <c r="AG61" s="1" t="str">
        <f>IF(AF61, COUNTIF($AF$2:AF61, TRUE), "")</f>
        <v/>
      </c>
    </row>
    <row r="62" spans="1:33" ht="30" hidden="1" outlineLevel="1" x14ac:dyDescent="0.25">
      <c r="A62" s="1" t="s">
        <v>168</v>
      </c>
      <c r="B62" s="1" t="s">
        <v>34</v>
      </c>
      <c r="C62" s="1" t="s">
        <v>35</v>
      </c>
      <c r="D62" s="1" t="s">
        <v>169</v>
      </c>
      <c r="E62" s="1" t="s">
        <v>176</v>
      </c>
      <c r="F62" s="4" t="s">
        <v>177</v>
      </c>
      <c r="G62" s="5">
        <v>9.0909090909090917</v>
      </c>
      <c r="H62" s="16"/>
      <c r="I62" s="3"/>
      <c r="J62" s="16" t="str">
        <f t="shared" si="55"/>
        <v/>
      </c>
      <c r="K62" s="17"/>
      <c r="L62" s="4"/>
      <c r="M62" s="1" t="str">
        <f>IFERROR(INDEX(__key!$D:$D,MATCH(O62&amp;"|"&amp;SUBSTITUTE(H62,",",";"), __key!$E:$E, 0)), "")</f>
        <v/>
      </c>
      <c r="N62" s="1" t="str">
        <f>IFERROR(INDEX(__key!$D:$D,MATCH(O62&amp;"|"&amp;SUBSTITUTE(J62,",",";"), __key!$E:$E, 0)), "")</f>
        <v/>
      </c>
      <c r="O62" s="1" t="s">
        <v>98</v>
      </c>
      <c r="P62" s="1"/>
      <c r="Q62" s="1" t="s">
        <v>41</v>
      </c>
      <c r="R62" s="1">
        <v>4153</v>
      </c>
      <c r="S62" s="1">
        <f t="shared" si="56"/>
        <v>0</v>
      </c>
      <c r="T62" s="1">
        <f t="shared" si="57"/>
        <v>0</v>
      </c>
      <c r="U62" s="1">
        <f t="shared" si="58"/>
        <v>9.0909090909090917</v>
      </c>
      <c r="V62" s="1">
        <f t="shared" si="59"/>
        <v>100.00000000000001</v>
      </c>
      <c r="W62" s="1">
        <f t="shared" si="60"/>
        <v>9.0909090909090898E-2</v>
      </c>
      <c r="X62" s="1" t="str">
        <f t="shared" si="61"/>
        <v/>
      </c>
      <c r="Y62" s="1" t="b">
        <f t="shared" si="62"/>
        <v>0</v>
      </c>
      <c r="Z62" s="1" t="str">
        <f>IF(Y62, COUNTIF($Y$2:Y62, TRUE), "")</f>
        <v/>
      </c>
      <c r="AA62" s="1">
        <f t="shared" si="63"/>
        <v>9.0909090909090917</v>
      </c>
      <c r="AB62" s="1">
        <f t="shared" si="64"/>
        <v>100.00000000000001</v>
      </c>
      <c r="AC62" s="1">
        <f t="shared" si="65"/>
        <v>9.0909090909090898E-2</v>
      </c>
      <c r="AD62" s="1" t="str">
        <f t="shared" si="66"/>
        <v/>
      </c>
      <c r="AE62" s="1" t="b">
        <f t="shared" si="67"/>
        <v>0</v>
      </c>
      <c r="AF62" s="1" t="b">
        <f t="shared" si="68"/>
        <v>0</v>
      </c>
      <c r="AG62" s="1" t="str">
        <f>IF(AF62, COUNTIF($AF$2:AF62, TRUE), "")</f>
        <v/>
      </c>
    </row>
    <row r="63" spans="1:33" ht="45" hidden="1" outlineLevel="1" x14ac:dyDescent="0.25">
      <c r="A63" s="1" t="s">
        <v>168</v>
      </c>
      <c r="B63" s="1" t="s">
        <v>34</v>
      </c>
      <c r="C63" s="1" t="s">
        <v>35</v>
      </c>
      <c r="D63" s="1" t="s">
        <v>169</v>
      </c>
      <c r="E63" s="1" t="s">
        <v>178</v>
      </c>
      <c r="F63" s="4" t="s">
        <v>179</v>
      </c>
      <c r="G63" s="5">
        <v>9.0909090909090917</v>
      </c>
      <c r="H63" s="16"/>
      <c r="I63" s="3"/>
      <c r="J63" s="16" t="str">
        <f t="shared" si="55"/>
        <v/>
      </c>
      <c r="K63" s="17"/>
      <c r="L63" s="4"/>
      <c r="M63" s="1" t="str">
        <f>IFERROR(INDEX(__key!$D:$D,MATCH(O63&amp;"|"&amp;SUBSTITUTE(H63,",",";"), __key!$E:$E, 0)), "")</f>
        <v/>
      </c>
      <c r="N63" s="1" t="str">
        <f>IFERROR(INDEX(__key!$D:$D,MATCH(O63&amp;"|"&amp;SUBSTITUTE(J63,",",";"), __key!$E:$E, 0)), "")</f>
        <v/>
      </c>
      <c r="O63" s="1" t="s">
        <v>98</v>
      </c>
      <c r="P63" s="1"/>
      <c r="Q63" s="1" t="s">
        <v>41</v>
      </c>
      <c r="R63" s="1">
        <v>4154</v>
      </c>
      <c r="S63" s="1">
        <f t="shared" si="56"/>
        <v>0</v>
      </c>
      <c r="T63" s="1">
        <f t="shared" si="57"/>
        <v>0</v>
      </c>
      <c r="U63" s="1">
        <f t="shared" si="58"/>
        <v>9.0909090909090917</v>
      </c>
      <c r="V63" s="1">
        <f t="shared" si="59"/>
        <v>100.00000000000001</v>
      </c>
      <c r="W63" s="1">
        <f t="shared" si="60"/>
        <v>9.0909090909090898E-2</v>
      </c>
      <c r="X63" s="1" t="str">
        <f t="shared" si="61"/>
        <v/>
      </c>
      <c r="Y63" s="1" t="b">
        <f t="shared" si="62"/>
        <v>0</v>
      </c>
      <c r="Z63" s="1" t="str">
        <f>IF(Y63, COUNTIF($Y$2:Y63, TRUE), "")</f>
        <v/>
      </c>
      <c r="AA63" s="1">
        <f t="shared" si="63"/>
        <v>9.0909090909090917</v>
      </c>
      <c r="AB63" s="1">
        <f t="shared" si="64"/>
        <v>100.00000000000001</v>
      </c>
      <c r="AC63" s="1">
        <f t="shared" si="65"/>
        <v>9.0909090909090898E-2</v>
      </c>
      <c r="AD63" s="1" t="str">
        <f t="shared" si="66"/>
        <v/>
      </c>
      <c r="AE63" s="1" t="b">
        <f t="shared" si="67"/>
        <v>0</v>
      </c>
      <c r="AF63" s="1" t="b">
        <f t="shared" si="68"/>
        <v>0</v>
      </c>
      <c r="AG63" s="1" t="str">
        <f>IF(AF63, COUNTIF($AF$2:AF63, TRUE), "")</f>
        <v/>
      </c>
    </row>
    <row r="64" spans="1:33" ht="45" hidden="1" outlineLevel="1" x14ac:dyDescent="0.25">
      <c r="A64" s="1" t="s">
        <v>168</v>
      </c>
      <c r="B64" s="1" t="s">
        <v>34</v>
      </c>
      <c r="C64" s="1" t="s">
        <v>35</v>
      </c>
      <c r="D64" s="1" t="s">
        <v>169</v>
      </c>
      <c r="E64" s="1" t="s">
        <v>180</v>
      </c>
      <c r="F64" s="4" t="s">
        <v>181</v>
      </c>
      <c r="G64" s="5">
        <v>9.0909090909090917</v>
      </c>
      <c r="H64" s="16"/>
      <c r="I64" s="3"/>
      <c r="J64" s="16" t="str">
        <f t="shared" si="55"/>
        <v/>
      </c>
      <c r="K64" s="17"/>
      <c r="L64" s="4"/>
      <c r="M64" s="1" t="str">
        <f>IFERROR(INDEX(__key!$D:$D,MATCH(O64&amp;"|"&amp;SUBSTITUTE(H64,",",";"), __key!$E:$E, 0)), "")</f>
        <v/>
      </c>
      <c r="N64" s="1" t="str">
        <f>IFERROR(INDEX(__key!$D:$D,MATCH(O64&amp;"|"&amp;SUBSTITUTE(J64,",",";"), __key!$E:$E, 0)), "")</f>
        <v/>
      </c>
      <c r="O64" s="1" t="s">
        <v>98</v>
      </c>
      <c r="P64" s="1"/>
      <c r="Q64" s="1" t="s">
        <v>41</v>
      </c>
      <c r="R64" s="1">
        <v>4155</v>
      </c>
      <c r="S64" s="1">
        <f t="shared" si="56"/>
        <v>0</v>
      </c>
      <c r="T64" s="1">
        <f t="shared" si="57"/>
        <v>0</v>
      </c>
      <c r="U64" s="1">
        <f t="shared" si="58"/>
        <v>9.0909090909090917</v>
      </c>
      <c r="V64" s="1">
        <f t="shared" si="59"/>
        <v>100.00000000000001</v>
      </c>
      <c r="W64" s="1">
        <f t="shared" si="60"/>
        <v>9.0909090909090898E-2</v>
      </c>
      <c r="X64" s="1" t="str">
        <f t="shared" si="61"/>
        <v/>
      </c>
      <c r="Y64" s="1" t="b">
        <f t="shared" si="62"/>
        <v>0</v>
      </c>
      <c r="Z64" s="1" t="str">
        <f>IF(Y64, COUNTIF($Y$2:Y64, TRUE), "")</f>
        <v/>
      </c>
      <c r="AA64" s="1">
        <f t="shared" si="63"/>
        <v>9.0909090909090917</v>
      </c>
      <c r="AB64" s="1">
        <f t="shared" si="64"/>
        <v>100.00000000000001</v>
      </c>
      <c r="AC64" s="1">
        <f t="shared" si="65"/>
        <v>9.0909090909090898E-2</v>
      </c>
      <c r="AD64" s="1" t="str">
        <f t="shared" si="66"/>
        <v/>
      </c>
      <c r="AE64" s="1" t="b">
        <f t="shared" si="67"/>
        <v>0</v>
      </c>
      <c r="AF64" s="1" t="b">
        <f t="shared" si="68"/>
        <v>0</v>
      </c>
      <c r="AG64" s="1" t="str">
        <f>IF(AF64, COUNTIF($AF$2:AF64, TRUE), "")</f>
        <v/>
      </c>
    </row>
    <row r="65" spans="1:33" ht="45" hidden="1" outlineLevel="1" x14ac:dyDescent="0.25">
      <c r="A65" s="1" t="s">
        <v>168</v>
      </c>
      <c r="B65" s="1" t="s">
        <v>34</v>
      </c>
      <c r="C65" s="1" t="s">
        <v>35</v>
      </c>
      <c r="D65" s="1" t="s">
        <v>169</v>
      </c>
      <c r="E65" s="1" t="s">
        <v>182</v>
      </c>
      <c r="F65" s="4" t="s">
        <v>183</v>
      </c>
      <c r="G65" s="5">
        <v>9.0909090909090917</v>
      </c>
      <c r="H65" s="16"/>
      <c r="I65" s="3"/>
      <c r="J65" s="16" t="str">
        <f t="shared" si="55"/>
        <v/>
      </c>
      <c r="K65" s="17"/>
      <c r="L65" s="4"/>
      <c r="M65" s="1" t="str">
        <f>IFERROR(INDEX(__key!$D:$D,MATCH(O65&amp;"|"&amp;SUBSTITUTE(H65,",",";"), __key!$E:$E, 0)), "")</f>
        <v/>
      </c>
      <c r="N65" s="1" t="str">
        <f>IFERROR(INDEX(__key!$D:$D,MATCH(O65&amp;"|"&amp;SUBSTITUTE(J65,",",";"), __key!$E:$E, 0)), "")</f>
        <v/>
      </c>
      <c r="O65" s="1" t="s">
        <v>98</v>
      </c>
      <c r="P65" s="1"/>
      <c r="Q65" s="1" t="s">
        <v>41</v>
      </c>
      <c r="R65" s="1">
        <v>4156</v>
      </c>
      <c r="S65" s="1">
        <f t="shared" si="56"/>
        <v>0</v>
      </c>
      <c r="T65" s="1">
        <f t="shared" si="57"/>
        <v>0</v>
      </c>
      <c r="U65" s="1">
        <f t="shared" si="58"/>
        <v>9.0909090909090917</v>
      </c>
      <c r="V65" s="1">
        <f t="shared" si="59"/>
        <v>100.00000000000001</v>
      </c>
      <c r="W65" s="1">
        <f t="shared" si="60"/>
        <v>9.0909090909090898E-2</v>
      </c>
      <c r="X65" s="1" t="str">
        <f t="shared" si="61"/>
        <v/>
      </c>
      <c r="Y65" s="1" t="b">
        <f t="shared" si="62"/>
        <v>0</v>
      </c>
      <c r="Z65" s="1" t="str">
        <f>IF(Y65, COUNTIF($Y$2:Y65, TRUE), "")</f>
        <v/>
      </c>
      <c r="AA65" s="1">
        <f t="shared" si="63"/>
        <v>9.0909090909090917</v>
      </c>
      <c r="AB65" s="1">
        <f t="shared" si="64"/>
        <v>100.00000000000001</v>
      </c>
      <c r="AC65" s="1">
        <f t="shared" si="65"/>
        <v>9.0909090909090898E-2</v>
      </c>
      <c r="AD65" s="1" t="str">
        <f t="shared" si="66"/>
        <v/>
      </c>
      <c r="AE65" s="1" t="b">
        <f t="shared" si="67"/>
        <v>0</v>
      </c>
      <c r="AF65" s="1" t="b">
        <f t="shared" si="68"/>
        <v>0</v>
      </c>
      <c r="AG65" s="1" t="str">
        <f>IF(AF65, COUNTIF($AF$2:AF65, TRUE), "")</f>
        <v/>
      </c>
    </row>
    <row r="66" spans="1:33" ht="45" hidden="1" outlineLevel="1" x14ac:dyDescent="0.25">
      <c r="A66" s="1" t="s">
        <v>168</v>
      </c>
      <c r="B66" s="1" t="s">
        <v>34</v>
      </c>
      <c r="C66" s="1" t="s">
        <v>35</v>
      </c>
      <c r="D66" s="1" t="s">
        <v>169</v>
      </c>
      <c r="E66" s="1" t="s">
        <v>184</v>
      </c>
      <c r="F66" s="4" t="s">
        <v>185</v>
      </c>
      <c r="G66" s="5">
        <v>9.0909090909090917</v>
      </c>
      <c r="H66" s="16"/>
      <c r="I66" s="3"/>
      <c r="J66" s="16" t="str">
        <f t="shared" si="55"/>
        <v/>
      </c>
      <c r="K66" s="17"/>
      <c r="L66" s="4"/>
      <c r="M66" s="1" t="str">
        <f>IFERROR(INDEX(__key!$D:$D,MATCH(O66&amp;"|"&amp;SUBSTITUTE(H66,",",";"), __key!$E:$E, 0)), "")</f>
        <v/>
      </c>
      <c r="N66" s="1" t="str">
        <f>IFERROR(INDEX(__key!$D:$D,MATCH(O66&amp;"|"&amp;SUBSTITUTE(J66,",",";"), __key!$E:$E, 0)), "")</f>
        <v/>
      </c>
      <c r="O66" s="1" t="s">
        <v>98</v>
      </c>
      <c r="P66" s="1"/>
      <c r="Q66" s="1" t="s">
        <v>41</v>
      </c>
      <c r="R66" s="1">
        <v>4157</v>
      </c>
      <c r="S66" s="1">
        <f t="shared" si="56"/>
        <v>0</v>
      </c>
      <c r="T66" s="1">
        <f t="shared" si="57"/>
        <v>0</v>
      </c>
      <c r="U66" s="1">
        <f t="shared" si="58"/>
        <v>9.0909090909090917</v>
      </c>
      <c r="V66" s="1">
        <f t="shared" si="59"/>
        <v>100.00000000000001</v>
      </c>
      <c r="W66" s="1">
        <f t="shared" si="60"/>
        <v>9.0909090909090898E-2</v>
      </c>
      <c r="X66" s="1" t="str">
        <f t="shared" si="61"/>
        <v/>
      </c>
      <c r="Y66" s="1" t="b">
        <f t="shared" si="62"/>
        <v>0</v>
      </c>
      <c r="Z66" s="1" t="str">
        <f>IF(Y66, COUNTIF($Y$2:Y66, TRUE), "")</f>
        <v/>
      </c>
      <c r="AA66" s="1">
        <f t="shared" si="63"/>
        <v>9.0909090909090917</v>
      </c>
      <c r="AB66" s="1">
        <f t="shared" si="64"/>
        <v>100.00000000000001</v>
      </c>
      <c r="AC66" s="1">
        <f t="shared" si="65"/>
        <v>9.0909090909090898E-2</v>
      </c>
      <c r="AD66" s="1" t="str">
        <f t="shared" si="66"/>
        <v/>
      </c>
      <c r="AE66" s="1" t="b">
        <f t="shared" si="67"/>
        <v>0</v>
      </c>
      <c r="AF66" s="1" t="b">
        <f t="shared" si="68"/>
        <v>0</v>
      </c>
      <c r="AG66" s="1" t="str">
        <f>IF(AF66, COUNTIF($AF$2:AF66, TRUE), "")</f>
        <v/>
      </c>
    </row>
    <row r="67" spans="1:33" ht="45" hidden="1" outlineLevel="1" x14ac:dyDescent="0.25">
      <c r="A67" s="1" t="s">
        <v>168</v>
      </c>
      <c r="B67" s="1" t="s">
        <v>34</v>
      </c>
      <c r="C67" s="1" t="s">
        <v>35</v>
      </c>
      <c r="D67" s="1" t="s">
        <v>169</v>
      </c>
      <c r="E67" s="1" t="s">
        <v>186</v>
      </c>
      <c r="F67" s="4" t="s">
        <v>187</v>
      </c>
      <c r="G67" s="5">
        <v>9.0909090909090917</v>
      </c>
      <c r="H67" s="16"/>
      <c r="I67" s="3"/>
      <c r="J67" s="16" t="str">
        <f t="shared" si="55"/>
        <v/>
      </c>
      <c r="K67" s="17"/>
      <c r="L67" s="4"/>
      <c r="M67" s="1" t="str">
        <f>IFERROR(INDEX(__key!$D:$D,MATCH(O67&amp;"|"&amp;SUBSTITUTE(H67,",",";"), __key!$E:$E, 0)), "")</f>
        <v/>
      </c>
      <c r="N67" s="1" t="str">
        <f>IFERROR(INDEX(__key!$D:$D,MATCH(O67&amp;"|"&amp;SUBSTITUTE(J67,",",";"), __key!$E:$E, 0)), "")</f>
        <v/>
      </c>
      <c r="O67" s="1" t="s">
        <v>98</v>
      </c>
      <c r="P67" s="1"/>
      <c r="Q67" s="1" t="s">
        <v>41</v>
      </c>
      <c r="R67" s="1">
        <v>4158</v>
      </c>
      <c r="S67" s="1">
        <f t="shared" si="56"/>
        <v>0</v>
      </c>
      <c r="T67" s="1">
        <f t="shared" si="57"/>
        <v>0</v>
      </c>
      <c r="U67" s="1">
        <f t="shared" si="58"/>
        <v>9.0909090909090917</v>
      </c>
      <c r="V67" s="1">
        <f t="shared" si="59"/>
        <v>100.00000000000001</v>
      </c>
      <c r="W67" s="1">
        <f t="shared" si="60"/>
        <v>9.0909090909090898E-2</v>
      </c>
      <c r="X67" s="1" t="str">
        <f t="shared" si="61"/>
        <v/>
      </c>
      <c r="Y67" s="1" t="b">
        <f t="shared" si="62"/>
        <v>0</v>
      </c>
      <c r="Z67" s="1" t="str">
        <f>IF(Y67, COUNTIF($Y$2:Y67, TRUE), "")</f>
        <v/>
      </c>
      <c r="AA67" s="1">
        <f t="shared" si="63"/>
        <v>9.0909090909090917</v>
      </c>
      <c r="AB67" s="1">
        <f t="shared" si="64"/>
        <v>100.00000000000001</v>
      </c>
      <c r="AC67" s="1">
        <f t="shared" si="65"/>
        <v>9.0909090909090898E-2</v>
      </c>
      <c r="AD67" s="1" t="str">
        <f t="shared" si="66"/>
        <v/>
      </c>
      <c r="AE67" s="1" t="b">
        <f t="shared" si="67"/>
        <v>0</v>
      </c>
      <c r="AF67" s="1" t="b">
        <f t="shared" si="68"/>
        <v>0</v>
      </c>
      <c r="AG67" s="1" t="str">
        <f>IF(AF67, COUNTIF($AF$2:AF67, TRUE), "")</f>
        <v/>
      </c>
    </row>
    <row r="68" spans="1:33" ht="60" hidden="1" outlineLevel="1" x14ac:dyDescent="0.25">
      <c r="A68" s="1" t="s">
        <v>168</v>
      </c>
      <c r="B68" s="1" t="s">
        <v>34</v>
      </c>
      <c r="C68" s="1" t="s">
        <v>35</v>
      </c>
      <c r="D68" s="1" t="s">
        <v>169</v>
      </c>
      <c r="E68" s="1" t="s">
        <v>188</v>
      </c>
      <c r="F68" s="4" t="s">
        <v>189</v>
      </c>
      <c r="G68" s="5">
        <v>9.0909090909090917</v>
      </c>
      <c r="H68" s="16"/>
      <c r="I68" s="3"/>
      <c r="J68" s="16" t="str">
        <f t="shared" si="55"/>
        <v/>
      </c>
      <c r="K68" s="17"/>
      <c r="L68" s="4"/>
      <c r="M68" s="1" t="str">
        <f>IFERROR(INDEX(__key!$D:$D,MATCH(O68&amp;"|"&amp;SUBSTITUTE(H68,",",";"), __key!$E:$E, 0)), "")</f>
        <v/>
      </c>
      <c r="N68" s="1" t="str">
        <f>IFERROR(INDEX(__key!$D:$D,MATCH(O68&amp;"|"&amp;SUBSTITUTE(J68,",",";"), __key!$E:$E, 0)), "")</f>
        <v/>
      </c>
      <c r="O68" s="1" t="s">
        <v>98</v>
      </c>
      <c r="P68" s="1"/>
      <c r="Q68" s="1" t="s">
        <v>41</v>
      </c>
      <c r="R68" s="1">
        <v>4159</v>
      </c>
      <c r="S68" s="1">
        <f t="shared" si="56"/>
        <v>0</v>
      </c>
      <c r="T68" s="1">
        <f t="shared" si="57"/>
        <v>0</v>
      </c>
      <c r="U68" s="1">
        <f t="shared" si="58"/>
        <v>9.0909090909090917</v>
      </c>
      <c r="V68" s="1">
        <f t="shared" si="59"/>
        <v>100.00000000000001</v>
      </c>
      <c r="W68" s="1">
        <f t="shared" si="60"/>
        <v>9.0909090909090898E-2</v>
      </c>
      <c r="X68" s="1" t="str">
        <f t="shared" si="61"/>
        <v/>
      </c>
      <c r="Y68" s="1" t="b">
        <f t="shared" si="62"/>
        <v>0</v>
      </c>
      <c r="Z68" s="1" t="str">
        <f>IF(Y68, COUNTIF($Y$2:Y68, TRUE), "")</f>
        <v/>
      </c>
      <c r="AA68" s="1">
        <f t="shared" si="63"/>
        <v>9.0909090909090917</v>
      </c>
      <c r="AB68" s="1">
        <f t="shared" si="64"/>
        <v>100.00000000000001</v>
      </c>
      <c r="AC68" s="1">
        <f t="shared" si="65"/>
        <v>9.0909090909090898E-2</v>
      </c>
      <c r="AD68" s="1" t="str">
        <f t="shared" si="66"/>
        <v/>
      </c>
      <c r="AE68" s="1" t="b">
        <f t="shared" si="67"/>
        <v>0</v>
      </c>
      <c r="AF68" s="1" t="b">
        <f t="shared" si="68"/>
        <v>0</v>
      </c>
      <c r="AG68" s="1" t="str">
        <f>IF(AF68, COUNTIF($AF$2:AF68, TRUE), "")</f>
        <v/>
      </c>
    </row>
    <row r="69" spans="1:33" ht="30" hidden="1" outlineLevel="1" x14ac:dyDescent="0.25">
      <c r="A69" s="1" t="s">
        <v>168</v>
      </c>
      <c r="B69" s="1" t="s">
        <v>34</v>
      </c>
      <c r="C69" s="1" t="s">
        <v>35</v>
      </c>
      <c r="D69" s="1" t="s">
        <v>169</v>
      </c>
      <c r="E69" s="1" t="s">
        <v>190</v>
      </c>
      <c r="F69" s="4" t="s">
        <v>191</v>
      </c>
      <c r="G69" s="5">
        <v>9.0909090909090917</v>
      </c>
      <c r="H69" s="16"/>
      <c r="I69" s="3"/>
      <c r="J69" s="16" t="str">
        <f t="shared" si="55"/>
        <v/>
      </c>
      <c r="K69" s="17"/>
      <c r="L69" s="4"/>
      <c r="M69" s="1" t="str">
        <f>IFERROR(INDEX(__key!$D:$D,MATCH(O69&amp;"|"&amp;SUBSTITUTE(H69,",",";"), __key!$E:$E, 0)), "")</f>
        <v/>
      </c>
      <c r="N69" s="1" t="str">
        <f>IFERROR(INDEX(__key!$D:$D,MATCH(O69&amp;"|"&amp;SUBSTITUTE(J69,",",";"), __key!$E:$E, 0)), "")</f>
        <v/>
      </c>
      <c r="O69" s="1" t="s">
        <v>51</v>
      </c>
      <c r="P69" s="1"/>
      <c r="Q69" s="1" t="s">
        <v>41</v>
      </c>
      <c r="R69" s="1">
        <v>41510</v>
      </c>
      <c r="S69" s="1">
        <f t="shared" si="56"/>
        <v>0</v>
      </c>
      <c r="T69" s="1">
        <f t="shared" si="57"/>
        <v>0</v>
      </c>
      <c r="U69" s="1">
        <f t="shared" si="58"/>
        <v>9.0909090909090917</v>
      </c>
      <c r="V69" s="1">
        <f t="shared" si="59"/>
        <v>100.00000000000001</v>
      </c>
      <c r="W69" s="1">
        <f t="shared" si="60"/>
        <v>9.0909090909090898E-2</v>
      </c>
      <c r="X69" s="1" t="str">
        <f t="shared" si="61"/>
        <v/>
      </c>
      <c r="Y69" s="1" t="b">
        <f t="shared" si="62"/>
        <v>0</v>
      </c>
      <c r="Z69" s="1" t="str">
        <f>IF(Y69, COUNTIF($Y$2:Y69, TRUE), "")</f>
        <v/>
      </c>
      <c r="AA69" s="1">
        <f t="shared" si="63"/>
        <v>9.0909090909090917</v>
      </c>
      <c r="AB69" s="1">
        <f t="shared" si="64"/>
        <v>100.00000000000001</v>
      </c>
      <c r="AC69" s="1">
        <f t="shared" si="65"/>
        <v>9.0909090909090898E-2</v>
      </c>
      <c r="AD69" s="1" t="str">
        <f t="shared" si="66"/>
        <v/>
      </c>
      <c r="AE69" s="1" t="b">
        <f t="shared" si="67"/>
        <v>0</v>
      </c>
      <c r="AF69" s="1" t="b">
        <f t="shared" si="68"/>
        <v>0</v>
      </c>
      <c r="AG69" s="1" t="str">
        <f>IF(AF69, COUNTIF($AF$2:AF69, TRUE), "")</f>
        <v/>
      </c>
    </row>
    <row r="70" spans="1:33" ht="45" hidden="1" outlineLevel="1" x14ac:dyDescent="0.25">
      <c r="A70" s="1" t="s">
        <v>168</v>
      </c>
      <c r="B70" s="1" t="s">
        <v>34</v>
      </c>
      <c r="C70" s="1" t="s">
        <v>35</v>
      </c>
      <c r="D70" s="1" t="s">
        <v>169</v>
      </c>
      <c r="E70" s="1" t="s">
        <v>192</v>
      </c>
      <c r="F70" s="4" t="s">
        <v>193</v>
      </c>
      <c r="G70" s="5">
        <v>9.0909090909090917</v>
      </c>
      <c r="H70" s="16"/>
      <c r="I70" s="3"/>
      <c r="J70" s="16" t="str">
        <f t="shared" si="55"/>
        <v/>
      </c>
      <c r="K70" s="17"/>
      <c r="L70" s="4"/>
      <c r="M70" s="1" t="str">
        <f>IFERROR(INDEX(__key!$D:$D,MATCH(O70&amp;"|"&amp;SUBSTITUTE(H70,",",";"), __key!$E:$E, 0)), "")</f>
        <v/>
      </c>
      <c r="N70" s="1" t="str">
        <f>IFERROR(INDEX(__key!$D:$D,MATCH(O70&amp;"|"&amp;SUBSTITUTE(J70,",",";"), __key!$E:$E, 0)), "")</f>
        <v/>
      </c>
      <c r="O70" s="1" t="s">
        <v>51</v>
      </c>
      <c r="P70" s="1"/>
      <c r="Q70" s="1" t="s">
        <v>41</v>
      </c>
      <c r="R70" s="1">
        <v>41511</v>
      </c>
      <c r="S70" s="1">
        <f t="shared" si="56"/>
        <v>0</v>
      </c>
      <c r="T70" s="1">
        <f t="shared" si="57"/>
        <v>0</v>
      </c>
      <c r="U70" s="1">
        <f t="shared" si="58"/>
        <v>9.0909090909090917</v>
      </c>
      <c r="V70" s="1">
        <f t="shared" si="59"/>
        <v>100.00000000000001</v>
      </c>
      <c r="W70" s="1">
        <f t="shared" si="60"/>
        <v>9.0909090909090898E-2</v>
      </c>
      <c r="X70" s="1" t="str">
        <f t="shared" si="61"/>
        <v/>
      </c>
      <c r="Y70" s="1" t="b">
        <f t="shared" si="62"/>
        <v>0</v>
      </c>
      <c r="Z70" s="1" t="str">
        <f>IF(Y70, COUNTIF($Y$2:Y70, TRUE), "")</f>
        <v/>
      </c>
      <c r="AA70" s="1">
        <f t="shared" si="63"/>
        <v>9.0909090909090917</v>
      </c>
      <c r="AB70" s="1">
        <f t="shared" si="64"/>
        <v>100.00000000000001</v>
      </c>
      <c r="AC70" s="1">
        <f t="shared" si="65"/>
        <v>9.0909090909090898E-2</v>
      </c>
      <c r="AD70" s="1" t="str">
        <f t="shared" si="66"/>
        <v/>
      </c>
      <c r="AE70" s="1" t="b">
        <f t="shared" si="67"/>
        <v>0</v>
      </c>
      <c r="AF70" s="1" t="b">
        <f t="shared" si="68"/>
        <v>0</v>
      </c>
      <c r="AG70" s="1" t="str">
        <f>IF(AF70, COUNTIF($AF$2:AF70, TRUE), "")</f>
        <v/>
      </c>
    </row>
    <row r="71" spans="1:33" ht="30" customHeight="1" collapsed="1" x14ac:dyDescent="0.25">
      <c r="A71" s="1"/>
      <c r="B71" s="1"/>
      <c r="C71" s="1"/>
      <c r="D71" s="1"/>
      <c r="E71" s="1"/>
      <c r="F71" s="14" t="s">
        <v>194</v>
      </c>
      <c r="G71" s="15"/>
      <c r="H71" s="14"/>
      <c r="I71" s="14"/>
      <c r="J71" s="14"/>
      <c r="K71" s="14"/>
      <c r="L71" s="14"/>
      <c r="M71" s="1"/>
      <c r="N71" s="1"/>
      <c r="O71" s="1"/>
      <c r="P71" s="1"/>
      <c r="Q71" s="1"/>
      <c r="R71" s="1"/>
      <c r="S71" s="1"/>
      <c r="T71" s="1"/>
      <c r="U71" s="1"/>
      <c r="V71" s="1"/>
      <c r="W71" s="1"/>
      <c r="X71" s="1"/>
      <c r="Y71" s="1"/>
      <c r="Z71" s="1"/>
      <c r="AA71" s="1"/>
      <c r="AB71" s="1"/>
      <c r="AC71" s="1"/>
      <c r="AD71" s="1"/>
      <c r="AE71" s="1"/>
      <c r="AF71" s="1"/>
      <c r="AG71" s="1"/>
    </row>
    <row r="72" spans="1:33" ht="45" hidden="1" outlineLevel="1" x14ac:dyDescent="0.25">
      <c r="A72" s="1" t="s">
        <v>194</v>
      </c>
      <c r="B72" s="1" t="s">
        <v>34</v>
      </c>
      <c r="C72" s="1" t="s">
        <v>35</v>
      </c>
      <c r="D72" s="1" t="s">
        <v>195</v>
      </c>
      <c r="E72" s="1" t="s">
        <v>196</v>
      </c>
      <c r="F72" s="4" t="s">
        <v>197</v>
      </c>
      <c r="G72" s="5">
        <v>9.0909090909090917</v>
      </c>
      <c r="H72" s="16"/>
      <c r="I72" s="3"/>
      <c r="J72" s="16" t="str">
        <f t="shared" ref="J72:J82" si="69">IF(H72="","",H72)</f>
        <v/>
      </c>
      <c r="K72" s="17"/>
      <c r="L72" s="4" t="s">
        <v>175</v>
      </c>
      <c r="M72" s="1" t="str">
        <f>IFERROR(INDEX(__key!$D:$D,MATCH(O72&amp;"|"&amp;SUBSTITUTE(H72,",",";"), __key!$E:$E, 0)), "")</f>
        <v/>
      </c>
      <c r="N72" s="1" t="str">
        <f>IFERROR(INDEX(__key!$D:$D,MATCH(O72&amp;"|"&amp;SUBSTITUTE(J72,",",";"), __key!$E:$E, 0)), "")</f>
        <v/>
      </c>
      <c r="O72" s="1" t="s">
        <v>121</v>
      </c>
      <c r="P72" s="1"/>
      <c r="Q72" s="1" t="s">
        <v>41</v>
      </c>
      <c r="R72" s="1">
        <v>4161</v>
      </c>
      <c r="S72" s="1">
        <f t="shared" ref="S72:S82" si="70">IFERROR(1*M72,0)</f>
        <v>0</v>
      </c>
      <c r="T72" s="1">
        <f t="shared" ref="T72:T82" si="71">IFERROR(1*N72,0)</f>
        <v>0</v>
      </c>
      <c r="U72" s="1">
        <f t="shared" ref="U72:U82" si="72">IFERROR(IF(ISNUMBER(SEARCH("Not Relevant",H72)),0,VALUE(G72)),"")</f>
        <v>9.0909090909090917</v>
      </c>
      <c r="V72" s="1">
        <f t="shared" ref="V72:V82" si="73">IFERROR(SUMIF($D:$D,D72,$U:$U),"")</f>
        <v>100.00000000000001</v>
      </c>
      <c r="W72" s="1">
        <f t="shared" ref="W72:W82" si="74">IF(OR(V72=0,V72=""),"",U72/V72)</f>
        <v>9.0909090909090898E-2</v>
      </c>
      <c r="X72" s="1" t="str">
        <f t="shared" ref="X72:X82" si="75">IF(OR(M72="",W72=""),"",VALUE(M72)*W72)</f>
        <v/>
      </c>
      <c r="Y72" s="1" t="b">
        <f t="shared" ref="Y72:Y82" si="76">IFERROR(ISNUMBER(SEARCH("Not Relevant",H72)),FALSE)</f>
        <v>0</v>
      </c>
      <c r="Z72" s="1" t="str">
        <f>IF(Y72, COUNTIF($Y$2:Y72, TRUE), "")</f>
        <v/>
      </c>
      <c r="AA72" s="1">
        <f t="shared" ref="AA72:AA82" si="77">IFERROR(IF(ISNUMBER(SEARCH("Not Relevant",J72)),0,VALUE(G72)),"")</f>
        <v>9.0909090909090917</v>
      </c>
      <c r="AB72" s="1">
        <f t="shared" ref="AB72:AB82" si="78">IFERROR(SUMIF($D:$D,D72,$AA:$AA),"")</f>
        <v>100.00000000000001</v>
      </c>
      <c r="AC72" s="1">
        <f t="shared" ref="AC72:AC82" si="79">IF(OR(AB72=0,AB72=""),"",AA72/AB72)</f>
        <v>9.0909090909090898E-2</v>
      </c>
      <c r="AD72" s="1" t="str">
        <f t="shared" ref="AD72:AD82" si="80">IF(OR(N72="",AC72=""),"",VALUE(N72)*AC72)</f>
        <v/>
      </c>
      <c r="AE72" s="1" t="b">
        <f t="shared" ref="AE72:AE82" si="81">IFERROR(ISNUMBER(SEARCH("Not Relevant",J72)),FALSE)</f>
        <v>0</v>
      </c>
      <c r="AF72" s="1" t="b">
        <f t="shared" ref="AF72:AF82" si="82">IF(OR(H72="",J72=""),FALSE,IF(H72&lt;&gt;J72,TRUE,FALSE))</f>
        <v>0</v>
      </c>
      <c r="AG72" s="1" t="str">
        <f>IF(AF72, COUNTIF($AF$2:AF72, TRUE), "")</f>
        <v/>
      </c>
    </row>
    <row r="73" spans="1:33" ht="60" hidden="1" outlineLevel="1" x14ac:dyDescent="0.25">
      <c r="A73" s="1" t="s">
        <v>194</v>
      </c>
      <c r="B73" s="1" t="s">
        <v>34</v>
      </c>
      <c r="C73" s="1" t="s">
        <v>35</v>
      </c>
      <c r="D73" s="1" t="s">
        <v>195</v>
      </c>
      <c r="E73" s="1" t="s">
        <v>198</v>
      </c>
      <c r="F73" s="4" t="s">
        <v>199</v>
      </c>
      <c r="G73" s="5">
        <v>9.0909090909090917</v>
      </c>
      <c r="H73" s="16"/>
      <c r="I73" s="3"/>
      <c r="J73" s="16" t="str">
        <f t="shared" si="69"/>
        <v/>
      </c>
      <c r="K73" s="17"/>
      <c r="L73" s="4"/>
      <c r="M73" s="1" t="str">
        <f>IFERROR(INDEX(__key!$D:$D,MATCH(O73&amp;"|"&amp;SUBSTITUTE(H73,",",";"), __key!$E:$E, 0)), "")</f>
        <v/>
      </c>
      <c r="N73" s="1" t="str">
        <f>IFERROR(INDEX(__key!$D:$D,MATCH(O73&amp;"|"&amp;SUBSTITUTE(J73,",",";"), __key!$E:$E, 0)), "")</f>
        <v/>
      </c>
      <c r="O73" s="1" t="s">
        <v>98</v>
      </c>
      <c r="P73" s="1"/>
      <c r="Q73" s="1" t="s">
        <v>41</v>
      </c>
      <c r="R73" s="1">
        <v>4162</v>
      </c>
      <c r="S73" s="1">
        <f t="shared" si="70"/>
        <v>0</v>
      </c>
      <c r="T73" s="1">
        <f t="shared" si="71"/>
        <v>0</v>
      </c>
      <c r="U73" s="1">
        <f t="shared" si="72"/>
        <v>9.0909090909090917</v>
      </c>
      <c r="V73" s="1">
        <f t="shared" si="73"/>
        <v>100.00000000000001</v>
      </c>
      <c r="W73" s="1">
        <f t="shared" si="74"/>
        <v>9.0909090909090898E-2</v>
      </c>
      <c r="X73" s="1" t="str">
        <f t="shared" si="75"/>
        <v/>
      </c>
      <c r="Y73" s="1" t="b">
        <f t="shared" si="76"/>
        <v>0</v>
      </c>
      <c r="Z73" s="1" t="str">
        <f>IF(Y73, COUNTIF($Y$2:Y73, TRUE), "")</f>
        <v/>
      </c>
      <c r="AA73" s="1">
        <f t="shared" si="77"/>
        <v>9.0909090909090917</v>
      </c>
      <c r="AB73" s="1">
        <f t="shared" si="78"/>
        <v>100.00000000000001</v>
      </c>
      <c r="AC73" s="1">
        <f t="shared" si="79"/>
        <v>9.0909090909090898E-2</v>
      </c>
      <c r="AD73" s="1" t="str">
        <f t="shared" si="80"/>
        <v/>
      </c>
      <c r="AE73" s="1" t="b">
        <f t="shared" si="81"/>
        <v>0</v>
      </c>
      <c r="AF73" s="1" t="b">
        <f t="shared" si="82"/>
        <v>0</v>
      </c>
      <c r="AG73" s="1" t="str">
        <f>IF(AF73, COUNTIF($AF$2:AF73, TRUE), "")</f>
        <v/>
      </c>
    </row>
    <row r="74" spans="1:33" ht="30" hidden="1" outlineLevel="1" x14ac:dyDescent="0.25">
      <c r="A74" s="1" t="s">
        <v>194</v>
      </c>
      <c r="B74" s="1" t="s">
        <v>34</v>
      </c>
      <c r="C74" s="1" t="s">
        <v>35</v>
      </c>
      <c r="D74" s="1" t="s">
        <v>195</v>
      </c>
      <c r="E74" s="1" t="s">
        <v>200</v>
      </c>
      <c r="F74" s="4" t="s">
        <v>201</v>
      </c>
      <c r="G74" s="5">
        <v>9.0909090909090917</v>
      </c>
      <c r="H74" s="16"/>
      <c r="I74" s="3"/>
      <c r="J74" s="16" t="str">
        <f t="shared" si="69"/>
        <v/>
      </c>
      <c r="K74" s="17"/>
      <c r="L74" s="4"/>
      <c r="M74" s="1" t="str">
        <f>IFERROR(INDEX(__key!$D:$D,MATCH(O74&amp;"|"&amp;SUBSTITUTE(H74,",",";"), __key!$E:$E, 0)), "")</f>
        <v/>
      </c>
      <c r="N74" s="1" t="str">
        <f>IFERROR(INDEX(__key!$D:$D,MATCH(O74&amp;"|"&amp;SUBSTITUTE(J74,",",";"), __key!$E:$E, 0)), "")</f>
        <v/>
      </c>
      <c r="O74" s="1" t="s">
        <v>98</v>
      </c>
      <c r="P74" s="1"/>
      <c r="Q74" s="1" t="s">
        <v>41</v>
      </c>
      <c r="R74" s="1">
        <v>4163</v>
      </c>
      <c r="S74" s="1">
        <f t="shared" si="70"/>
        <v>0</v>
      </c>
      <c r="T74" s="1">
        <f t="shared" si="71"/>
        <v>0</v>
      </c>
      <c r="U74" s="1">
        <f t="shared" si="72"/>
        <v>9.0909090909090917</v>
      </c>
      <c r="V74" s="1">
        <f t="shared" si="73"/>
        <v>100.00000000000001</v>
      </c>
      <c r="W74" s="1">
        <f t="shared" si="74"/>
        <v>9.0909090909090898E-2</v>
      </c>
      <c r="X74" s="1" t="str">
        <f t="shared" si="75"/>
        <v/>
      </c>
      <c r="Y74" s="1" t="b">
        <f t="shared" si="76"/>
        <v>0</v>
      </c>
      <c r="Z74" s="1" t="str">
        <f>IF(Y74, COUNTIF($Y$2:Y74, TRUE), "")</f>
        <v/>
      </c>
      <c r="AA74" s="1">
        <f t="shared" si="77"/>
        <v>9.0909090909090917</v>
      </c>
      <c r="AB74" s="1">
        <f t="shared" si="78"/>
        <v>100.00000000000001</v>
      </c>
      <c r="AC74" s="1">
        <f t="shared" si="79"/>
        <v>9.0909090909090898E-2</v>
      </c>
      <c r="AD74" s="1" t="str">
        <f t="shared" si="80"/>
        <v/>
      </c>
      <c r="AE74" s="1" t="b">
        <f t="shared" si="81"/>
        <v>0</v>
      </c>
      <c r="AF74" s="1" t="b">
        <f t="shared" si="82"/>
        <v>0</v>
      </c>
      <c r="AG74" s="1" t="str">
        <f>IF(AF74, COUNTIF($AF$2:AF74, TRUE), "")</f>
        <v/>
      </c>
    </row>
    <row r="75" spans="1:33" ht="45" hidden="1" outlineLevel="1" x14ac:dyDescent="0.25">
      <c r="A75" s="1" t="s">
        <v>194</v>
      </c>
      <c r="B75" s="1" t="s">
        <v>34</v>
      </c>
      <c r="C75" s="1" t="s">
        <v>35</v>
      </c>
      <c r="D75" s="1" t="s">
        <v>195</v>
      </c>
      <c r="E75" s="1" t="s">
        <v>202</v>
      </c>
      <c r="F75" s="4" t="s">
        <v>203</v>
      </c>
      <c r="G75" s="5">
        <v>9.0909090909090917</v>
      </c>
      <c r="H75" s="16"/>
      <c r="I75" s="3"/>
      <c r="J75" s="16" t="str">
        <f t="shared" si="69"/>
        <v/>
      </c>
      <c r="K75" s="17"/>
      <c r="L75" s="4"/>
      <c r="M75" s="1" t="str">
        <f>IFERROR(INDEX(__key!$D:$D,MATCH(O75&amp;"|"&amp;SUBSTITUTE(H75,",",";"), __key!$E:$E, 0)), "")</f>
        <v/>
      </c>
      <c r="N75" s="1" t="str">
        <f>IFERROR(INDEX(__key!$D:$D,MATCH(O75&amp;"|"&amp;SUBSTITUTE(J75,",",";"), __key!$E:$E, 0)), "")</f>
        <v/>
      </c>
      <c r="O75" s="1" t="s">
        <v>98</v>
      </c>
      <c r="P75" s="1"/>
      <c r="Q75" s="1" t="s">
        <v>41</v>
      </c>
      <c r="R75" s="1">
        <v>4164</v>
      </c>
      <c r="S75" s="1">
        <f t="shared" si="70"/>
        <v>0</v>
      </c>
      <c r="T75" s="1">
        <f t="shared" si="71"/>
        <v>0</v>
      </c>
      <c r="U75" s="1">
        <f t="shared" si="72"/>
        <v>9.0909090909090917</v>
      </c>
      <c r="V75" s="1">
        <f t="shared" si="73"/>
        <v>100.00000000000001</v>
      </c>
      <c r="W75" s="1">
        <f t="shared" si="74"/>
        <v>9.0909090909090898E-2</v>
      </c>
      <c r="X75" s="1" t="str">
        <f t="shared" si="75"/>
        <v/>
      </c>
      <c r="Y75" s="1" t="b">
        <f t="shared" si="76"/>
        <v>0</v>
      </c>
      <c r="Z75" s="1" t="str">
        <f>IF(Y75, COUNTIF($Y$2:Y75, TRUE), "")</f>
        <v/>
      </c>
      <c r="AA75" s="1">
        <f t="shared" si="77"/>
        <v>9.0909090909090917</v>
      </c>
      <c r="AB75" s="1">
        <f t="shared" si="78"/>
        <v>100.00000000000001</v>
      </c>
      <c r="AC75" s="1">
        <f t="shared" si="79"/>
        <v>9.0909090909090898E-2</v>
      </c>
      <c r="AD75" s="1" t="str">
        <f t="shared" si="80"/>
        <v/>
      </c>
      <c r="AE75" s="1" t="b">
        <f t="shared" si="81"/>
        <v>0</v>
      </c>
      <c r="AF75" s="1" t="b">
        <f t="shared" si="82"/>
        <v>0</v>
      </c>
      <c r="AG75" s="1" t="str">
        <f>IF(AF75, COUNTIF($AF$2:AF75, TRUE), "")</f>
        <v/>
      </c>
    </row>
    <row r="76" spans="1:33" ht="45" hidden="1" outlineLevel="1" x14ac:dyDescent="0.25">
      <c r="A76" s="1" t="s">
        <v>194</v>
      </c>
      <c r="B76" s="1" t="s">
        <v>34</v>
      </c>
      <c r="C76" s="1" t="s">
        <v>35</v>
      </c>
      <c r="D76" s="1" t="s">
        <v>195</v>
      </c>
      <c r="E76" s="1" t="s">
        <v>204</v>
      </c>
      <c r="F76" s="4" t="s">
        <v>205</v>
      </c>
      <c r="G76" s="5">
        <v>9.0909090909090917</v>
      </c>
      <c r="H76" s="16"/>
      <c r="I76" s="3"/>
      <c r="J76" s="16" t="str">
        <f t="shared" si="69"/>
        <v/>
      </c>
      <c r="K76" s="17"/>
      <c r="L76" s="4"/>
      <c r="M76" s="1" t="str">
        <f>IFERROR(INDEX(__key!$D:$D,MATCH(O76&amp;"|"&amp;SUBSTITUTE(H76,",",";"), __key!$E:$E, 0)), "")</f>
        <v/>
      </c>
      <c r="N76" s="1" t="str">
        <f>IFERROR(INDEX(__key!$D:$D,MATCH(O76&amp;"|"&amp;SUBSTITUTE(J76,",",";"), __key!$E:$E, 0)), "")</f>
        <v/>
      </c>
      <c r="O76" s="1" t="s">
        <v>98</v>
      </c>
      <c r="P76" s="1"/>
      <c r="Q76" s="1" t="s">
        <v>41</v>
      </c>
      <c r="R76" s="1">
        <v>4165</v>
      </c>
      <c r="S76" s="1">
        <f t="shared" si="70"/>
        <v>0</v>
      </c>
      <c r="T76" s="1">
        <f t="shared" si="71"/>
        <v>0</v>
      </c>
      <c r="U76" s="1">
        <f t="shared" si="72"/>
        <v>9.0909090909090917</v>
      </c>
      <c r="V76" s="1">
        <f t="shared" si="73"/>
        <v>100.00000000000001</v>
      </c>
      <c r="W76" s="1">
        <f t="shared" si="74"/>
        <v>9.0909090909090898E-2</v>
      </c>
      <c r="X76" s="1" t="str">
        <f t="shared" si="75"/>
        <v/>
      </c>
      <c r="Y76" s="1" t="b">
        <f t="shared" si="76"/>
        <v>0</v>
      </c>
      <c r="Z76" s="1" t="str">
        <f>IF(Y76, COUNTIF($Y$2:Y76, TRUE), "")</f>
        <v/>
      </c>
      <c r="AA76" s="1">
        <f t="shared" si="77"/>
        <v>9.0909090909090917</v>
      </c>
      <c r="AB76" s="1">
        <f t="shared" si="78"/>
        <v>100.00000000000001</v>
      </c>
      <c r="AC76" s="1">
        <f t="shared" si="79"/>
        <v>9.0909090909090898E-2</v>
      </c>
      <c r="AD76" s="1" t="str">
        <f t="shared" si="80"/>
        <v/>
      </c>
      <c r="AE76" s="1" t="b">
        <f t="shared" si="81"/>
        <v>0</v>
      </c>
      <c r="AF76" s="1" t="b">
        <f t="shared" si="82"/>
        <v>0</v>
      </c>
      <c r="AG76" s="1" t="str">
        <f>IF(AF76, COUNTIF($AF$2:AF76, TRUE), "")</f>
        <v/>
      </c>
    </row>
    <row r="77" spans="1:33" ht="45" hidden="1" outlineLevel="1" x14ac:dyDescent="0.25">
      <c r="A77" s="1" t="s">
        <v>194</v>
      </c>
      <c r="B77" s="1" t="s">
        <v>34</v>
      </c>
      <c r="C77" s="1" t="s">
        <v>35</v>
      </c>
      <c r="D77" s="1" t="s">
        <v>195</v>
      </c>
      <c r="E77" s="1" t="s">
        <v>206</v>
      </c>
      <c r="F77" s="4" t="s">
        <v>207</v>
      </c>
      <c r="G77" s="5">
        <v>9.0909090909090917</v>
      </c>
      <c r="H77" s="16"/>
      <c r="I77" s="3"/>
      <c r="J77" s="16" t="str">
        <f t="shared" si="69"/>
        <v/>
      </c>
      <c r="K77" s="17"/>
      <c r="L77" s="4"/>
      <c r="M77" s="1" t="str">
        <f>IFERROR(INDEX(__key!$D:$D,MATCH(O77&amp;"|"&amp;SUBSTITUTE(H77,",",";"), __key!$E:$E, 0)), "")</f>
        <v/>
      </c>
      <c r="N77" s="1" t="str">
        <f>IFERROR(INDEX(__key!$D:$D,MATCH(O77&amp;"|"&amp;SUBSTITUTE(J77,",",";"), __key!$E:$E, 0)), "")</f>
        <v/>
      </c>
      <c r="O77" s="1" t="s">
        <v>98</v>
      </c>
      <c r="P77" s="1"/>
      <c r="Q77" s="1" t="s">
        <v>41</v>
      </c>
      <c r="R77" s="1">
        <v>4166</v>
      </c>
      <c r="S77" s="1">
        <f t="shared" si="70"/>
        <v>0</v>
      </c>
      <c r="T77" s="1">
        <f t="shared" si="71"/>
        <v>0</v>
      </c>
      <c r="U77" s="1">
        <f t="shared" si="72"/>
        <v>9.0909090909090917</v>
      </c>
      <c r="V77" s="1">
        <f t="shared" si="73"/>
        <v>100.00000000000001</v>
      </c>
      <c r="W77" s="1">
        <f t="shared" si="74"/>
        <v>9.0909090909090898E-2</v>
      </c>
      <c r="X77" s="1" t="str">
        <f t="shared" si="75"/>
        <v/>
      </c>
      <c r="Y77" s="1" t="b">
        <f t="shared" si="76"/>
        <v>0</v>
      </c>
      <c r="Z77" s="1" t="str">
        <f>IF(Y77, COUNTIF($Y$2:Y77, TRUE), "")</f>
        <v/>
      </c>
      <c r="AA77" s="1">
        <f t="shared" si="77"/>
        <v>9.0909090909090917</v>
      </c>
      <c r="AB77" s="1">
        <f t="shared" si="78"/>
        <v>100.00000000000001</v>
      </c>
      <c r="AC77" s="1">
        <f t="shared" si="79"/>
        <v>9.0909090909090898E-2</v>
      </c>
      <c r="AD77" s="1" t="str">
        <f t="shared" si="80"/>
        <v/>
      </c>
      <c r="AE77" s="1" t="b">
        <f t="shared" si="81"/>
        <v>0</v>
      </c>
      <c r="AF77" s="1" t="b">
        <f t="shared" si="82"/>
        <v>0</v>
      </c>
      <c r="AG77" s="1" t="str">
        <f>IF(AF77, COUNTIF($AF$2:AF77, TRUE), "")</f>
        <v/>
      </c>
    </row>
    <row r="78" spans="1:33" ht="45" hidden="1" outlineLevel="1" x14ac:dyDescent="0.25">
      <c r="A78" s="1" t="s">
        <v>194</v>
      </c>
      <c r="B78" s="1" t="s">
        <v>34</v>
      </c>
      <c r="C78" s="1" t="s">
        <v>35</v>
      </c>
      <c r="D78" s="1" t="s">
        <v>195</v>
      </c>
      <c r="E78" s="1" t="s">
        <v>208</v>
      </c>
      <c r="F78" s="4" t="s">
        <v>209</v>
      </c>
      <c r="G78" s="5">
        <v>9.0909090909090917</v>
      </c>
      <c r="H78" s="16"/>
      <c r="I78" s="3"/>
      <c r="J78" s="16" t="str">
        <f t="shared" si="69"/>
        <v/>
      </c>
      <c r="K78" s="17"/>
      <c r="L78" s="4"/>
      <c r="M78" s="1" t="str">
        <f>IFERROR(INDEX(__key!$D:$D,MATCH(O78&amp;"|"&amp;SUBSTITUTE(H78,",",";"), __key!$E:$E, 0)), "")</f>
        <v/>
      </c>
      <c r="N78" s="1" t="str">
        <f>IFERROR(INDEX(__key!$D:$D,MATCH(O78&amp;"|"&amp;SUBSTITUTE(J78,",",";"), __key!$E:$E, 0)), "")</f>
        <v/>
      </c>
      <c r="O78" s="1" t="s">
        <v>98</v>
      </c>
      <c r="P78" s="1"/>
      <c r="Q78" s="1" t="s">
        <v>41</v>
      </c>
      <c r="R78" s="1">
        <v>4167</v>
      </c>
      <c r="S78" s="1">
        <f t="shared" si="70"/>
        <v>0</v>
      </c>
      <c r="T78" s="1">
        <f t="shared" si="71"/>
        <v>0</v>
      </c>
      <c r="U78" s="1">
        <f t="shared" si="72"/>
        <v>9.0909090909090917</v>
      </c>
      <c r="V78" s="1">
        <f t="shared" si="73"/>
        <v>100.00000000000001</v>
      </c>
      <c r="W78" s="1">
        <f t="shared" si="74"/>
        <v>9.0909090909090898E-2</v>
      </c>
      <c r="X78" s="1" t="str">
        <f t="shared" si="75"/>
        <v/>
      </c>
      <c r="Y78" s="1" t="b">
        <f t="shared" si="76"/>
        <v>0</v>
      </c>
      <c r="Z78" s="1" t="str">
        <f>IF(Y78, COUNTIF($Y$2:Y78, TRUE), "")</f>
        <v/>
      </c>
      <c r="AA78" s="1">
        <f t="shared" si="77"/>
        <v>9.0909090909090917</v>
      </c>
      <c r="AB78" s="1">
        <f t="shared" si="78"/>
        <v>100.00000000000001</v>
      </c>
      <c r="AC78" s="1">
        <f t="shared" si="79"/>
        <v>9.0909090909090898E-2</v>
      </c>
      <c r="AD78" s="1" t="str">
        <f t="shared" si="80"/>
        <v/>
      </c>
      <c r="AE78" s="1" t="b">
        <f t="shared" si="81"/>
        <v>0</v>
      </c>
      <c r="AF78" s="1" t="b">
        <f t="shared" si="82"/>
        <v>0</v>
      </c>
      <c r="AG78" s="1" t="str">
        <f>IF(AF78, COUNTIF($AF$2:AF78, TRUE), "")</f>
        <v/>
      </c>
    </row>
    <row r="79" spans="1:33" ht="45" hidden="1" outlineLevel="1" x14ac:dyDescent="0.25">
      <c r="A79" s="1" t="s">
        <v>194</v>
      </c>
      <c r="B79" s="1" t="s">
        <v>34</v>
      </c>
      <c r="C79" s="1" t="s">
        <v>35</v>
      </c>
      <c r="D79" s="1" t="s">
        <v>195</v>
      </c>
      <c r="E79" s="1" t="s">
        <v>210</v>
      </c>
      <c r="F79" s="4" t="s">
        <v>211</v>
      </c>
      <c r="G79" s="5">
        <v>9.0909090909090917</v>
      </c>
      <c r="H79" s="16"/>
      <c r="I79" s="3"/>
      <c r="J79" s="16" t="str">
        <f t="shared" si="69"/>
        <v/>
      </c>
      <c r="K79" s="17"/>
      <c r="L79" s="4"/>
      <c r="M79" s="1" t="str">
        <f>IFERROR(INDEX(__key!$D:$D,MATCH(O79&amp;"|"&amp;SUBSTITUTE(H79,",",";"), __key!$E:$E, 0)), "")</f>
        <v/>
      </c>
      <c r="N79" s="1" t="str">
        <f>IFERROR(INDEX(__key!$D:$D,MATCH(O79&amp;"|"&amp;SUBSTITUTE(J79,",",";"), __key!$E:$E, 0)), "")</f>
        <v/>
      </c>
      <c r="O79" s="1" t="s">
        <v>98</v>
      </c>
      <c r="P79" s="1"/>
      <c r="Q79" s="1" t="s">
        <v>41</v>
      </c>
      <c r="R79" s="1">
        <v>4168</v>
      </c>
      <c r="S79" s="1">
        <f t="shared" si="70"/>
        <v>0</v>
      </c>
      <c r="T79" s="1">
        <f t="shared" si="71"/>
        <v>0</v>
      </c>
      <c r="U79" s="1">
        <f t="shared" si="72"/>
        <v>9.0909090909090917</v>
      </c>
      <c r="V79" s="1">
        <f t="shared" si="73"/>
        <v>100.00000000000001</v>
      </c>
      <c r="W79" s="1">
        <f t="shared" si="74"/>
        <v>9.0909090909090898E-2</v>
      </c>
      <c r="X79" s="1" t="str">
        <f t="shared" si="75"/>
        <v/>
      </c>
      <c r="Y79" s="1" t="b">
        <f t="shared" si="76"/>
        <v>0</v>
      </c>
      <c r="Z79" s="1" t="str">
        <f>IF(Y79, COUNTIF($Y$2:Y79, TRUE), "")</f>
        <v/>
      </c>
      <c r="AA79" s="1">
        <f t="shared" si="77"/>
        <v>9.0909090909090917</v>
      </c>
      <c r="AB79" s="1">
        <f t="shared" si="78"/>
        <v>100.00000000000001</v>
      </c>
      <c r="AC79" s="1">
        <f t="shared" si="79"/>
        <v>9.0909090909090898E-2</v>
      </c>
      <c r="AD79" s="1" t="str">
        <f t="shared" si="80"/>
        <v/>
      </c>
      <c r="AE79" s="1" t="b">
        <f t="shared" si="81"/>
        <v>0</v>
      </c>
      <c r="AF79" s="1" t="b">
        <f t="shared" si="82"/>
        <v>0</v>
      </c>
      <c r="AG79" s="1" t="str">
        <f>IF(AF79, COUNTIF($AF$2:AF79, TRUE), "")</f>
        <v/>
      </c>
    </row>
    <row r="80" spans="1:33" ht="60" hidden="1" outlineLevel="1" x14ac:dyDescent="0.25">
      <c r="A80" s="1" t="s">
        <v>194</v>
      </c>
      <c r="B80" s="1" t="s">
        <v>34</v>
      </c>
      <c r="C80" s="1" t="s">
        <v>35</v>
      </c>
      <c r="D80" s="1" t="s">
        <v>195</v>
      </c>
      <c r="E80" s="1" t="s">
        <v>212</v>
      </c>
      <c r="F80" s="4" t="s">
        <v>213</v>
      </c>
      <c r="G80" s="5">
        <v>9.0909090909090917</v>
      </c>
      <c r="H80" s="16"/>
      <c r="I80" s="3"/>
      <c r="J80" s="16" t="str">
        <f t="shared" si="69"/>
        <v/>
      </c>
      <c r="K80" s="17"/>
      <c r="L80" s="4"/>
      <c r="M80" s="1" t="str">
        <f>IFERROR(INDEX(__key!$D:$D,MATCH(O80&amp;"|"&amp;SUBSTITUTE(H80,",",";"), __key!$E:$E, 0)), "")</f>
        <v/>
      </c>
      <c r="N80" s="1" t="str">
        <f>IFERROR(INDEX(__key!$D:$D,MATCH(O80&amp;"|"&amp;SUBSTITUTE(J80,",",";"), __key!$E:$E, 0)), "")</f>
        <v/>
      </c>
      <c r="O80" s="1" t="s">
        <v>98</v>
      </c>
      <c r="P80" s="1"/>
      <c r="Q80" s="1" t="s">
        <v>41</v>
      </c>
      <c r="R80" s="1">
        <v>4169</v>
      </c>
      <c r="S80" s="1">
        <f t="shared" si="70"/>
        <v>0</v>
      </c>
      <c r="T80" s="1">
        <f t="shared" si="71"/>
        <v>0</v>
      </c>
      <c r="U80" s="1">
        <f t="shared" si="72"/>
        <v>9.0909090909090917</v>
      </c>
      <c r="V80" s="1">
        <f t="shared" si="73"/>
        <v>100.00000000000001</v>
      </c>
      <c r="W80" s="1">
        <f t="shared" si="74"/>
        <v>9.0909090909090898E-2</v>
      </c>
      <c r="X80" s="1" t="str">
        <f t="shared" si="75"/>
        <v/>
      </c>
      <c r="Y80" s="1" t="b">
        <f t="shared" si="76"/>
        <v>0</v>
      </c>
      <c r="Z80" s="1" t="str">
        <f>IF(Y80, COUNTIF($Y$2:Y80, TRUE), "")</f>
        <v/>
      </c>
      <c r="AA80" s="1">
        <f t="shared" si="77"/>
        <v>9.0909090909090917</v>
      </c>
      <c r="AB80" s="1">
        <f t="shared" si="78"/>
        <v>100.00000000000001</v>
      </c>
      <c r="AC80" s="1">
        <f t="shared" si="79"/>
        <v>9.0909090909090898E-2</v>
      </c>
      <c r="AD80" s="1" t="str">
        <f t="shared" si="80"/>
        <v/>
      </c>
      <c r="AE80" s="1" t="b">
        <f t="shared" si="81"/>
        <v>0</v>
      </c>
      <c r="AF80" s="1" t="b">
        <f t="shared" si="82"/>
        <v>0</v>
      </c>
      <c r="AG80" s="1" t="str">
        <f>IF(AF80, COUNTIF($AF$2:AF80, TRUE), "")</f>
        <v/>
      </c>
    </row>
    <row r="81" spans="1:33" ht="30" hidden="1" outlineLevel="1" x14ac:dyDescent="0.25">
      <c r="A81" s="1" t="s">
        <v>194</v>
      </c>
      <c r="B81" s="1" t="s">
        <v>34</v>
      </c>
      <c r="C81" s="1" t="s">
        <v>35</v>
      </c>
      <c r="D81" s="1" t="s">
        <v>195</v>
      </c>
      <c r="E81" s="1" t="s">
        <v>214</v>
      </c>
      <c r="F81" s="4" t="s">
        <v>215</v>
      </c>
      <c r="G81" s="5">
        <v>9.0909090909090917</v>
      </c>
      <c r="H81" s="16"/>
      <c r="I81" s="3"/>
      <c r="J81" s="16" t="str">
        <f t="shared" si="69"/>
        <v/>
      </c>
      <c r="K81" s="17"/>
      <c r="L81" s="4"/>
      <c r="M81" s="1" t="str">
        <f>IFERROR(INDEX(__key!$D:$D,MATCH(O81&amp;"|"&amp;SUBSTITUTE(H81,",",";"), __key!$E:$E, 0)), "")</f>
        <v/>
      </c>
      <c r="N81" s="1" t="str">
        <f>IFERROR(INDEX(__key!$D:$D,MATCH(O81&amp;"|"&amp;SUBSTITUTE(J81,",",";"), __key!$E:$E, 0)), "")</f>
        <v/>
      </c>
      <c r="O81" s="1" t="s">
        <v>51</v>
      </c>
      <c r="P81" s="1"/>
      <c r="Q81" s="1" t="s">
        <v>41</v>
      </c>
      <c r="R81" s="1">
        <v>41610</v>
      </c>
      <c r="S81" s="1">
        <f t="shared" si="70"/>
        <v>0</v>
      </c>
      <c r="T81" s="1">
        <f t="shared" si="71"/>
        <v>0</v>
      </c>
      <c r="U81" s="1">
        <f t="shared" si="72"/>
        <v>9.0909090909090917</v>
      </c>
      <c r="V81" s="1">
        <f t="shared" si="73"/>
        <v>100.00000000000001</v>
      </c>
      <c r="W81" s="1">
        <f t="shared" si="74"/>
        <v>9.0909090909090898E-2</v>
      </c>
      <c r="X81" s="1" t="str">
        <f t="shared" si="75"/>
        <v/>
      </c>
      <c r="Y81" s="1" t="b">
        <f t="shared" si="76"/>
        <v>0</v>
      </c>
      <c r="Z81" s="1" t="str">
        <f>IF(Y81, COUNTIF($Y$2:Y81, TRUE), "")</f>
        <v/>
      </c>
      <c r="AA81" s="1">
        <f t="shared" si="77"/>
        <v>9.0909090909090917</v>
      </c>
      <c r="AB81" s="1">
        <f t="shared" si="78"/>
        <v>100.00000000000001</v>
      </c>
      <c r="AC81" s="1">
        <f t="shared" si="79"/>
        <v>9.0909090909090898E-2</v>
      </c>
      <c r="AD81" s="1" t="str">
        <f t="shared" si="80"/>
        <v/>
      </c>
      <c r="AE81" s="1" t="b">
        <f t="shared" si="81"/>
        <v>0</v>
      </c>
      <c r="AF81" s="1" t="b">
        <f t="shared" si="82"/>
        <v>0</v>
      </c>
      <c r="AG81" s="1" t="str">
        <f>IF(AF81, COUNTIF($AF$2:AF81, TRUE), "")</f>
        <v/>
      </c>
    </row>
    <row r="82" spans="1:33" ht="45" hidden="1" outlineLevel="1" x14ac:dyDescent="0.25">
      <c r="A82" s="1" t="s">
        <v>194</v>
      </c>
      <c r="B82" s="1" t="s">
        <v>34</v>
      </c>
      <c r="C82" s="1" t="s">
        <v>35</v>
      </c>
      <c r="D82" s="1" t="s">
        <v>195</v>
      </c>
      <c r="E82" s="1" t="s">
        <v>216</v>
      </c>
      <c r="F82" s="4" t="s">
        <v>217</v>
      </c>
      <c r="G82" s="5">
        <v>9.0909090909090917</v>
      </c>
      <c r="H82" s="16"/>
      <c r="I82" s="3"/>
      <c r="J82" s="16" t="str">
        <f t="shared" si="69"/>
        <v/>
      </c>
      <c r="K82" s="17"/>
      <c r="L82" s="4"/>
      <c r="M82" s="1" t="str">
        <f>IFERROR(INDEX(__key!$D:$D,MATCH(O82&amp;"|"&amp;SUBSTITUTE(H82,",",";"), __key!$E:$E, 0)), "")</f>
        <v/>
      </c>
      <c r="N82" s="1" t="str">
        <f>IFERROR(INDEX(__key!$D:$D,MATCH(O82&amp;"|"&amp;SUBSTITUTE(J82,",",";"), __key!$E:$E, 0)), "")</f>
        <v/>
      </c>
      <c r="O82" s="1" t="s">
        <v>51</v>
      </c>
      <c r="P82" s="1"/>
      <c r="Q82" s="1" t="s">
        <v>41</v>
      </c>
      <c r="R82" s="1">
        <v>41611</v>
      </c>
      <c r="S82" s="1">
        <f t="shared" si="70"/>
        <v>0</v>
      </c>
      <c r="T82" s="1">
        <f t="shared" si="71"/>
        <v>0</v>
      </c>
      <c r="U82" s="1">
        <f t="shared" si="72"/>
        <v>9.0909090909090917</v>
      </c>
      <c r="V82" s="1">
        <f t="shared" si="73"/>
        <v>100.00000000000001</v>
      </c>
      <c r="W82" s="1">
        <f t="shared" si="74"/>
        <v>9.0909090909090898E-2</v>
      </c>
      <c r="X82" s="1" t="str">
        <f t="shared" si="75"/>
        <v/>
      </c>
      <c r="Y82" s="1" t="b">
        <f t="shared" si="76"/>
        <v>0</v>
      </c>
      <c r="Z82" s="1" t="str">
        <f>IF(Y82, COUNTIF($Y$2:Y82, TRUE), "")</f>
        <v/>
      </c>
      <c r="AA82" s="1">
        <f t="shared" si="77"/>
        <v>9.0909090909090917</v>
      </c>
      <c r="AB82" s="1">
        <f t="shared" si="78"/>
        <v>100.00000000000001</v>
      </c>
      <c r="AC82" s="1">
        <f t="shared" si="79"/>
        <v>9.0909090909090898E-2</v>
      </c>
      <c r="AD82" s="1" t="str">
        <f t="shared" si="80"/>
        <v/>
      </c>
      <c r="AE82" s="1" t="b">
        <f t="shared" si="81"/>
        <v>0</v>
      </c>
      <c r="AF82" s="1" t="b">
        <f t="shared" si="82"/>
        <v>0</v>
      </c>
      <c r="AG82" s="1" t="str">
        <f>IF(AF82, COUNTIF($AF$2:AF82, TRUE), "")</f>
        <v/>
      </c>
    </row>
    <row r="83" spans="1:33" ht="30" customHeight="1" collapsed="1" x14ac:dyDescent="0.25">
      <c r="A83" s="1"/>
      <c r="B83" s="1"/>
      <c r="C83" s="1"/>
      <c r="D83" s="1"/>
      <c r="E83" s="1"/>
      <c r="F83" s="14" t="s">
        <v>218</v>
      </c>
      <c r="G83" s="15"/>
      <c r="H83" s="14"/>
      <c r="I83" s="14"/>
      <c r="J83" s="14"/>
      <c r="K83" s="14"/>
      <c r="L83" s="14"/>
      <c r="M83" s="1"/>
      <c r="N83" s="1"/>
      <c r="O83" s="1"/>
      <c r="P83" s="1"/>
      <c r="Q83" s="1"/>
      <c r="R83" s="1"/>
      <c r="S83" s="1"/>
      <c r="T83" s="1"/>
      <c r="U83" s="1"/>
      <c r="V83" s="1"/>
      <c r="W83" s="1"/>
      <c r="X83" s="1"/>
      <c r="Y83" s="1"/>
      <c r="Z83" s="1"/>
      <c r="AA83" s="1"/>
      <c r="AB83" s="1"/>
      <c r="AC83" s="1"/>
      <c r="AD83" s="1"/>
      <c r="AE83" s="1"/>
      <c r="AF83" s="1"/>
      <c r="AG83" s="1"/>
    </row>
    <row r="84" spans="1:33" ht="75" hidden="1" outlineLevel="1" x14ac:dyDescent="0.25">
      <c r="A84" s="1" t="s">
        <v>218</v>
      </c>
      <c r="B84" s="1" t="s">
        <v>34</v>
      </c>
      <c r="C84" s="1" t="s">
        <v>35</v>
      </c>
      <c r="D84" s="1" t="s">
        <v>219</v>
      </c>
      <c r="E84" s="1" t="s">
        <v>220</v>
      </c>
      <c r="F84" s="4" t="s">
        <v>221</v>
      </c>
      <c r="G84" s="5">
        <v>20</v>
      </c>
      <c r="H84" s="16"/>
      <c r="I84" s="3"/>
      <c r="J84" s="16" t="str">
        <f>IF(H84="","",H84)</f>
        <v/>
      </c>
      <c r="K84" s="17"/>
      <c r="L84" s="4" t="s">
        <v>222</v>
      </c>
      <c r="M84" s="1" t="str">
        <f>IFERROR(INDEX(__key!$D:$D,MATCH(O84&amp;"|"&amp;SUBSTITUTE(H84,",",";"), __key!$E:$E, 0)), "")</f>
        <v/>
      </c>
      <c r="N84" s="1" t="str">
        <f>IFERROR(INDEX(__key!$D:$D,MATCH(O84&amp;"|"&amp;SUBSTITUTE(J84,",",";"), __key!$E:$E, 0)), "")</f>
        <v/>
      </c>
      <c r="O84" s="1" t="s">
        <v>223</v>
      </c>
      <c r="P84" s="1"/>
      <c r="Q84" s="1" t="s">
        <v>41</v>
      </c>
      <c r="R84" s="1">
        <v>4171</v>
      </c>
      <c r="S84" s="1">
        <f t="shared" ref="S84:T88" si="83">IFERROR(1*M84,0)</f>
        <v>0</v>
      </c>
      <c r="T84" s="1">
        <f t="shared" si="83"/>
        <v>0</v>
      </c>
      <c r="U84" s="1">
        <f>IFERROR(IF(ISNUMBER(SEARCH("Not Relevant",H84)),0,VALUE(G84)),"")</f>
        <v>20</v>
      </c>
      <c r="V84" s="1">
        <f>IFERROR(SUMIF($D:$D,D84,$U:$U),"")</f>
        <v>100</v>
      </c>
      <c r="W84" s="1">
        <f>IF(OR(V84=0,V84=""),"",U84/V84)</f>
        <v>0.2</v>
      </c>
      <c r="X84" s="1" t="str">
        <f>IF(OR(M84="",W84=""),"",VALUE(M84)*W84)</f>
        <v/>
      </c>
      <c r="Y84" s="1" t="b">
        <f>IFERROR(ISNUMBER(SEARCH("Not Relevant",H84)),FALSE)</f>
        <v>0</v>
      </c>
      <c r="Z84" s="1" t="str">
        <f>IF(Y84, COUNTIF($Y$2:Y84, TRUE), "")</f>
        <v/>
      </c>
      <c r="AA84" s="1">
        <f>IFERROR(IF(ISNUMBER(SEARCH("Not Relevant",J84)),0,VALUE(G84)),"")</f>
        <v>20</v>
      </c>
      <c r="AB84" s="1">
        <f>IFERROR(SUMIF($D:$D,D84,$AA:$AA),"")</f>
        <v>100</v>
      </c>
      <c r="AC84" s="1">
        <f>IF(OR(AB84=0,AB84=""),"",AA84/AB84)</f>
        <v>0.2</v>
      </c>
      <c r="AD84" s="1" t="str">
        <f>IF(OR(N84="",AC84=""),"",VALUE(N84)*AC84)</f>
        <v/>
      </c>
      <c r="AE84" s="1" t="b">
        <f>IFERROR(ISNUMBER(SEARCH("Not Relevant",J84)),FALSE)</f>
        <v>0</v>
      </c>
      <c r="AF84" s="1" t="b">
        <f>IF(OR(H84="",J84=""),FALSE,IF(H84&lt;&gt;J84,TRUE,FALSE))</f>
        <v>0</v>
      </c>
      <c r="AG84" s="1" t="str">
        <f>IF(AF84, COUNTIF($AF$2:AF84, TRUE), "")</f>
        <v/>
      </c>
    </row>
    <row r="85" spans="1:33" ht="45" hidden="1" outlineLevel="1" x14ac:dyDescent="0.25">
      <c r="A85" s="1" t="s">
        <v>218</v>
      </c>
      <c r="B85" s="1" t="s">
        <v>34</v>
      </c>
      <c r="C85" s="1" t="s">
        <v>35</v>
      </c>
      <c r="D85" s="1" t="s">
        <v>219</v>
      </c>
      <c r="E85" s="1" t="s">
        <v>224</v>
      </c>
      <c r="F85" s="4" t="s">
        <v>225</v>
      </c>
      <c r="G85" s="5">
        <v>20</v>
      </c>
      <c r="H85" s="16"/>
      <c r="I85" s="3"/>
      <c r="J85" s="16" t="str">
        <f>IF(H85="","",H85)</f>
        <v/>
      </c>
      <c r="K85" s="17"/>
      <c r="L85" s="4"/>
      <c r="M85" s="1" t="str">
        <f>IFERROR(INDEX(__key!$D:$D,MATCH(O85&amp;"|"&amp;SUBSTITUTE(H85,",",";"), __key!$E:$E, 0)), "")</f>
        <v/>
      </c>
      <c r="N85" s="1" t="str">
        <f>IFERROR(INDEX(__key!$D:$D,MATCH(O85&amp;"|"&amp;SUBSTITUTE(J85,",",";"), __key!$E:$E, 0)), "")</f>
        <v/>
      </c>
      <c r="O85" s="1" t="s">
        <v>223</v>
      </c>
      <c r="P85" s="1"/>
      <c r="Q85" s="1" t="s">
        <v>41</v>
      </c>
      <c r="R85" s="1">
        <v>4172</v>
      </c>
      <c r="S85" s="1">
        <f t="shared" si="83"/>
        <v>0</v>
      </c>
      <c r="T85" s="1">
        <f t="shared" si="83"/>
        <v>0</v>
      </c>
      <c r="U85" s="1">
        <f>IFERROR(IF(ISNUMBER(SEARCH("Not Relevant",H85)),0,VALUE(G85)),"")</f>
        <v>20</v>
      </c>
      <c r="V85" s="1">
        <f>IFERROR(SUMIF($D:$D,D85,$U:$U),"")</f>
        <v>100</v>
      </c>
      <c r="W85" s="1">
        <f>IF(OR(V85=0,V85=""),"",U85/V85)</f>
        <v>0.2</v>
      </c>
      <c r="X85" s="1" t="str">
        <f>IF(OR(M85="",W85=""),"",VALUE(M85)*W85)</f>
        <v/>
      </c>
      <c r="Y85" s="1" t="b">
        <f>IFERROR(ISNUMBER(SEARCH("Not Relevant",H85)),FALSE)</f>
        <v>0</v>
      </c>
      <c r="Z85" s="1" t="str">
        <f>IF(Y85, COUNTIF($Y$2:Y85, TRUE), "")</f>
        <v/>
      </c>
      <c r="AA85" s="1">
        <f>IFERROR(IF(ISNUMBER(SEARCH("Not Relevant",J85)),0,VALUE(G85)),"")</f>
        <v>20</v>
      </c>
      <c r="AB85" s="1">
        <f>IFERROR(SUMIF($D:$D,D85,$AA:$AA),"")</f>
        <v>100</v>
      </c>
      <c r="AC85" s="1">
        <f>IF(OR(AB85=0,AB85=""),"",AA85/AB85)</f>
        <v>0.2</v>
      </c>
      <c r="AD85" s="1" t="str">
        <f>IF(OR(N85="",AC85=""),"",VALUE(N85)*AC85)</f>
        <v/>
      </c>
      <c r="AE85" s="1" t="b">
        <f>IFERROR(ISNUMBER(SEARCH("Not Relevant",J85)),FALSE)</f>
        <v>0</v>
      </c>
      <c r="AF85" s="1" t="b">
        <f>IF(OR(H85="",J85=""),FALSE,IF(H85&lt;&gt;J85,TRUE,FALSE))</f>
        <v>0</v>
      </c>
      <c r="AG85" s="1" t="str">
        <f>IF(AF85, COUNTIF($AF$2:AF85, TRUE), "")</f>
        <v/>
      </c>
    </row>
    <row r="86" spans="1:33" ht="45" hidden="1" outlineLevel="1" x14ac:dyDescent="0.25">
      <c r="A86" s="1" t="s">
        <v>218</v>
      </c>
      <c r="B86" s="1" t="s">
        <v>34</v>
      </c>
      <c r="C86" s="1" t="s">
        <v>35</v>
      </c>
      <c r="D86" s="1" t="s">
        <v>219</v>
      </c>
      <c r="E86" s="1" t="s">
        <v>226</v>
      </c>
      <c r="F86" s="4" t="s">
        <v>227</v>
      </c>
      <c r="G86" s="5">
        <v>20</v>
      </c>
      <c r="H86" s="16"/>
      <c r="I86" s="3"/>
      <c r="J86" s="16" t="str">
        <f>IF(H86="","",H86)</f>
        <v/>
      </c>
      <c r="K86" s="17"/>
      <c r="L86" s="4"/>
      <c r="M86" s="1" t="str">
        <f>IFERROR(INDEX(__key!$D:$D,MATCH(O86&amp;"|"&amp;SUBSTITUTE(H86,",",";"), __key!$E:$E, 0)), "")</f>
        <v/>
      </c>
      <c r="N86" s="1" t="str">
        <f>IFERROR(INDEX(__key!$D:$D,MATCH(O86&amp;"|"&amp;SUBSTITUTE(J86,",",";"), __key!$E:$E, 0)), "")</f>
        <v/>
      </c>
      <c r="O86" s="1" t="s">
        <v>223</v>
      </c>
      <c r="P86" s="1"/>
      <c r="Q86" s="1" t="s">
        <v>41</v>
      </c>
      <c r="R86" s="1">
        <v>4173</v>
      </c>
      <c r="S86" s="1">
        <f t="shared" si="83"/>
        <v>0</v>
      </c>
      <c r="T86" s="1">
        <f t="shared" si="83"/>
        <v>0</v>
      </c>
      <c r="U86" s="1">
        <f>IFERROR(IF(ISNUMBER(SEARCH("Not Relevant",H86)),0,VALUE(G86)),"")</f>
        <v>20</v>
      </c>
      <c r="V86" s="1">
        <f>IFERROR(SUMIF($D:$D,D86,$U:$U),"")</f>
        <v>100</v>
      </c>
      <c r="W86" s="1">
        <f>IF(OR(V86=0,V86=""),"",U86/V86)</f>
        <v>0.2</v>
      </c>
      <c r="X86" s="1" t="str">
        <f>IF(OR(M86="",W86=""),"",VALUE(M86)*W86)</f>
        <v/>
      </c>
      <c r="Y86" s="1" t="b">
        <f>IFERROR(ISNUMBER(SEARCH("Not Relevant",H86)),FALSE)</f>
        <v>0</v>
      </c>
      <c r="Z86" s="1" t="str">
        <f>IF(Y86, COUNTIF($Y$2:Y86, TRUE), "")</f>
        <v/>
      </c>
      <c r="AA86" s="1">
        <f>IFERROR(IF(ISNUMBER(SEARCH("Not Relevant",J86)),0,VALUE(G86)),"")</f>
        <v>20</v>
      </c>
      <c r="AB86" s="1">
        <f>IFERROR(SUMIF($D:$D,D86,$AA:$AA),"")</f>
        <v>100</v>
      </c>
      <c r="AC86" s="1">
        <f>IF(OR(AB86=0,AB86=""),"",AA86/AB86)</f>
        <v>0.2</v>
      </c>
      <c r="AD86" s="1" t="str">
        <f>IF(OR(N86="",AC86=""),"",VALUE(N86)*AC86)</f>
        <v/>
      </c>
      <c r="AE86" s="1" t="b">
        <f>IFERROR(ISNUMBER(SEARCH("Not Relevant",J86)),FALSE)</f>
        <v>0</v>
      </c>
      <c r="AF86" s="1" t="b">
        <f>IF(OR(H86="",J86=""),FALSE,IF(H86&lt;&gt;J86,TRUE,FALSE))</f>
        <v>0</v>
      </c>
      <c r="AG86" s="1" t="str">
        <f>IF(AF86, COUNTIF($AF$2:AF86, TRUE), "")</f>
        <v/>
      </c>
    </row>
    <row r="87" spans="1:33" ht="45" hidden="1" outlineLevel="1" x14ac:dyDescent="0.25">
      <c r="A87" s="1" t="s">
        <v>218</v>
      </c>
      <c r="B87" s="1" t="s">
        <v>34</v>
      </c>
      <c r="C87" s="1" t="s">
        <v>35</v>
      </c>
      <c r="D87" s="1" t="s">
        <v>219</v>
      </c>
      <c r="E87" s="1" t="s">
        <v>228</v>
      </c>
      <c r="F87" s="4" t="s">
        <v>229</v>
      </c>
      <c r="G87" s="5">
        <v>20</v>
      </c>
      <c r="H87" s="16"/>
      <c r="I87" s="3"/>
      <c r="J87" s="16" t="str">
        <f>IF(H87="","",H87)</f>
        <v/>
      </c>
      <c r="K87" s="17"/>
      <c r="L87" s="4"/>
      <c r="M87" s="1" t="str">
        <f>IFERROR(INDEX(__key!$D:$D,MATCH(O87&amp;"|"&amp;SUBSTITUTE(H87,",",";"), __key!$E:$E, 0)), "")</f>
        <v/>
      </c>
      <c r="N87" s="1" t="str">
        <f>IFERROR(INDEX(__key!$D:$D,MATCH(O87&amp;"|"&amp;SUBSTITUTE(J87,",",";"), __key!$E:$E, 0)), "")</f>
        <v/>
      </c>
      <c r="O87" s="1" t="s">
        <v>223</v>
      </c>
      <c r="P87" s="1"/>
      <c r="Q87" s="1" t="s">
        <v>41</v>
      </c>
      <c r="R87" s="1">
        <v>4174</v>
      </c>
      <c r="S87" s="1">
        <f t="shared" si="83"/>
        <v>0</v>
      </c>
      <c r="T87" s="1">
        <f t="shared" si="83"/>
        <v>0</v>
      </c>
      <c r="U87" s="1">
        <f>IFERROR(IF(ISNUMBER(SEARCH("Not Relevant",H87)),0,VALUE(G87)),"")</f>
        <v>20</v>
      </c>
      <c r="V87" s="1">
        <f>IFERROR(SUMIF($D:$D,D87,$U:$U),"")</f>
        <v>100</v>
      </c>
      <c r="W87" s="1">
        <f>IF(OR(V87=0,V87=""),"",U87/V87)</f>
        <v>0.2</v>
      </c>
      <c r="X87" s="1" t="str">
        <f>IF(OR(M87="",W87=""),"",VALUE(M87)*W87)</f>
        <v/>
      </c>
      <c r="Y87" s="1" t="b">
        <f>IFERROR(ISNUMBER(SEARCH("Not Relevant",H87)),FALSE)</f>
        <v>0</v>
      </c>
      <c r="Z87" s="1" t="str">
        <f>IF(Y87, COUNTIF($Y$2:Y87, TRUE), "")</f>
        <v/>
      </c>
      <c r="AA87" s="1">
        <f>IFERROR(IF(ISNUMBER(SEARCH("Not Relevant",J87)),0,VALUE(G87)),"")</f>
        <v>20</v>
      </c>
      <c r="AB87" s="1">
        <f>IFERROR(SUMIF($D:$D,D87,$AA:$AA),"")</f>
        <v>100</v>
      </c>
      <c r="AC87" s="1">
        <f>IF(OR(AB87=0,AB87=""),"",AA87/AB87)</f>
        <v>0.2</v>
      </c>
      <c r="AD87" s="1" t="str">
        <f>IF(OR(N87="",AC87=""),"",VALUE(N87)*AC87)</f>
        <v/>
      </c>
      <c r="AE87" s="1" t="b">
        <f>IFERROR(ISNUMBER(SEARCH("Not Relevant",J87)),FALSE)</f>
        <v>0</v>
      </c>
      <c r="AF87" s="1" t="b">
        <f>IF(OR(H87="",J87=""),FALSE,IF(H87&lt;&gt;J87,TRUE,FALSE))</f>
        <v>0</v>
      </c>
      <c r="AG87" s="1" t="str">
        <f>IF(AF87, COUNTIF($AF$2:AF87, TRUE), "")</f>
        <v/>
      </c>
    </row>
    <row r="88" spans="1:33" ht="45" hidden="1" outlineLevel="1" x14ac:dyDescent="0.25">
      <c r="A88" s="1" t="s">
        <v>218</v>
      </c>
      <c r="B88" s="1" t="s">
        <v>34</v>
      </c>
      <c r="C88" s="1" t="s">
        <v>35</v>
      </c>
      <c r="D88" s="1" t="s">
        <v>219</v>
      </c>
      <c r="E88" s="1" t="s">
        <v>230</v>
      </c>
      <c r="F88" s="4" t="s">
        <v>231</v>
      </c>
      <c r="G88" s="5">
        <v>20</v>
      </c>
      <c r="H88" s="16"/>
      <c r="I88" s="3"/>
      <c r="J88" s="16" t="str">
        <f>IF(H88="","",H88)</f>
        <v/>
      </c>
      <c r="K88" s="17"/>
      <c r="L88" s="4"/>
      <c r="M88" s="1" t="str">
        <f>IFERROR(INDEX(__key!$D:$D,MATCH(O88&amp;"|"&amp;SUBSTITUTE(H88,",",";"), __key!$E:$E, 0)), "")</f>
        <v/>
      </c>
      <c r="N88" s="1" t="str">
        <f>IFERROR(INDEX(__key!$D:$D,MATCH(O88&amp;"|"&amp;SUBSTITUTE(J88,",",";"), __key!$E:$E, 0)), "")</f>
        <v/>
      </c>
      <c r="O88" s="1" t="s">
        <v>223</v>
      </c>
      <c r="P88" s="1"/>
      <c r="Q88" s="1" t="s">
        <v>41</v>
      </c>
      <c r="R88" s="1">
        <v>4175</v>
      </c>
      <c r="S88" s="1">
        <f t="shared" si="83"/>
        <v>0</v>
      </c>
      <c r="T88" s="1">
        <f t="shared" si="83"/>
        <v>0</v>
      </c>
      <c r="U88" s="1">
        <f>IFERROR(IF(ISNUMBER(SEARCH("Not Relevant",H88)),0,VALUE(G88)),"")</f>
        <v>20</v>
      </c>
      <c r="V88" s="1">
        <f>IFERROR(SUMIF($D:$D,D88,$U:$U),"")</f>
        <v>100</v>
      </c>
      <c r="W88" s="1">
        <f>IF(OR(V88=0,V88=""),"",U88/V88)</f>
        <v>0.2</v>
      </c>
      <c r="X88" s="1" t="str">
        <f>IF(OR(M88="",W88=""),"",VALUE(M88)*W88)</f>
        <v/>
      </c>
      <c r="Y88" s="1" t="b">
        <f>IFERROR(ISNUMBER(SEARCH("Not Relevant",H88)),FALSE)</f>
        <v>0</v>
      </c>
      <c r="Z88" s="1" t="str">
        <f>IF(Y88, COUNTIF($Y$2:Y88, TRUE), "")</f>
        <v/>
      </c>
      <c r="AA88" s="1">
        <f>IFERROR(IF(ISNUMBER(SEARCH("Not Relevant",J88)),0,VALUE(G88)),"")</f>
        <v>20</v>
      </c>
      <c r="AB88" s="1">
        <f>IFERROR(SUMIF($D:$D,D88,$AA:$AA),"")</f>
        <v>100</v>
      </c>
      <c r="AC88" s="1">
        <f>IF(OR(AB88=0,AB88=""),"",AA88/AB88)</f>
        <v>0.2</v>
      </c>
      <c r="AD88" s="1" t="str">
        <f>IF(OR(N88="",AC88=""),"",VALUE(N88)*AC88)</f>
        <v/>
      </c>
      <c r="AE88" s="1" t="b">
        <f>IFERROR(ISNUMBER(SEARCH("Not Relevant",J88)),FALSE)</f>
        <v>0</v>
      </c>
      <c r="AF88" s="1" t="b">
        <f>IF(OR(H88="",J88=""),FALSE,IF(H88&lt;&gt;J88,TRUE,FALSE))</f>
        <v>0</v>
      </c>
      <c r="AG88" s="1" t="str">
        <f>IF(AF88, COUNTIF($AF$2:AF88, TRUE), "")</f>
        <v/>
      </c>
    </row>
    <row r="89" spans="1:33" ht="30" customHeight="1" collapsed="1" x14ac:dyDescent="0.25">
      <c r="A89" s="1"/>
      <c r="B89" s="1"/>
      <c r="C89" s="1"/>
      <c r="D89" s="1"/>
      <c r="E89" s="1"/>
      <c r="F89" s="14" t="s">
        <v>232</v>
      </c>
      <c r="G89" s="15"/>
      <c r="H89" s="14"/>
      <c r="I89" s="14"/>
      <c r="J89" s="14"/>
      <c r="K89" s="14"/>
      <c r="L89" s="14"/>
      <c r="M89" s="1"/>
      <c r="N89" s="1"/>
      <c r="O89" s="1"/>
      <c r="P89" s="1"/>
      <c r="Q89" s="1"/>
      <c r="R89" s="1"/>
      <c r="S89" s="1"/>
      <c r="T89" s="1"/>
      <c r="U89" s="1"/>
      <c r="V89" s="1"/>
      <c r="W89" s="1"/>
      <c r="X89" s="1"/>
      <c r="Y89" s="1"/>
      <c r="Z89" s="1"/>
      <c r="AA89" s="1"/>
      <c r="AB89" s="1"/>
      <c r="AC89" s="1"/>
      <c r="AD89" s="1"/>
      <c r="AE89" s="1"/>
      <c r="AF89" s="1"/>
      <c r="AG89" s="1"/>
    </row>
    <row r="90" spans="1:33" ht="90" hidden="1" outlineLevel="1" x14ac:dyDescent="0.25">
      <c r="A90" s="1" t="s">
        <v>232</v>
      </c>
      <c r="B90" s="1" t="s">
        <v>34</v>
      </c>
      <c r="C90" s="1" t="s">
        <v>35</v>
      </c>
      <c r="D90" s="1" t="s">
        <v>233</v>
      </c>
      <c r="E90" s="1" t="s">
        <v>234</v>
      </c>
      <c r="F90" s="4" t="s">
        <v>235</v>
      </c>
      <c r="G90" s="5">
        <v>16.666666666666661</v>
      </c>
      <c r="H90" s="16"/>
      <c r="I90" s="3"/>
      <c r="J90" s="16" t="str">
        <f t="shared" ref="J90:J95" si="84">IF(H90="","",H90)</f>
        <v/>
      </c>
      <c r="K90" s="17"/>
      <c r="L90" s="4" t="s">
        <v>236</v>
      </c>
      <c r="M90" s="1" t="str">
        <f>IFERROR(INDEX(__key!$D:$D,MATCH(O90&amp;"|"&amp;SUBSTITUTE(H90,",",";"), __key!$E:$E, 0)), "")</f>
        <v/>
      </c>
      <c r="N90" s="1" t="str">
        <f>IFERROR(INDEX(__key!$D:$D,MATCH(O90&amp;"|"&amp;SUBSTITUTE(J90,",",";"), __key!$E:$E, 0)), "")</f>
        <v/>
      </c>
      <c r="O90" s="1" t="s">
        <v>51</v>
      </c>
      <c r="P90" s="1"/>
      <c r="Q90" s="1" t="s">
        <v>41</v>
      </c>
      <c r="R90" s="1">
        <v>4181</v>
      </c>
      <c r="S90" s="1">
        <f t="shared" ref="S90:T95" si="85">IFERROR(1*M90,0)</f>
        <v>0</v>
      </c>
      <c r="T90" s="1">
        <f t="shared" si="85"/>
        <v>0</v>
      </c>
      <c r="U90" s="1">
        <f t="shared" ref="U90:U95" si="86">IFERROR(IF(ISNUMBER(SEARCH("Not Relevant",H90)),0,VALUE(G90)),"")</f>
        <v>16.666666666666661</v>
      </c>
      <c r="V90" s="1">
        <f t="shared" ref="V90:V95" si="87">IFERROR(SUMIF($D:$D,D90,$U:$U),"")</f>
        <v>99.999999999999957</v>
      </c>
      <c r="W90" s="1">
        <f t="shared" ref="W90:W95" si="88">IF(OR(V90=0,V90=""),"",U90/V90)</f>
        <v>0.16666666666666669</v>
      </c>
      <c r="X90" s="1" t="str">
        <f t="shared" ref="X90:X95" si="89">IF(OR(M90="",W90=""),"",VALUE(M90)*W90)</f>
        <v/>
      </c>
      <c r="Y90" s="1" t="b">
        <f t="shared" ref="Y90:Y95" si="90">IFERROR(ISNUMBER(SEARCH("Not Relevant",H90)),FALSE)</f>
        <v>0</v>
      </c>
      <c r="Z90" s="1" t="str">
        <f>IF(Y90, COUNTIF($Y$2:Y90, TRUE), "")</f>
        <v/>
      </c>
      <c r="AA90" s="1">
        <f t="shared" ref="AA90:AA95" si="91">IFERROR(IF(ISNUMBER(SEARCH("Not Relevant",J90)),0,VALUE(G90)),"")</f>
        <v>16.666666666666661</v>
      </c>
      <c r="AB90" s="1">
        <f t="shared" ref="AB90:AB95" si="92">IFERROR(SUMIF($D:$D,D90,$AA:$AA),"")</f>
        <v>99.999999999999957</v>
      </c>
      <c r="AC90" s="1">
        <f t="shared" ref="AC90:AC95" si="93">IF(OR(AB90=0,AB90=""),"",AA90/AB90)</f>
        <v>0.16666666666666669</v>
      </c>
      <c r="AD90" s="1" t="str">
        <f t="shared" ref="AD90:AD95" si="94">IF(OR(N90="",AC90=""),"",VALUE(N90)*AC90)</f>
        <v/>
      </c>
      <c r="AE90" s="1" t="b">
        <f t="shared" ref="AE90:AE95" si="95">IFERROR(ISNUMBER(SEARCH("Not Relevant",J90)),FALSE)</f>
        <v>0</v>
      </c>
      <c r="AF90" s="1" t="b">
        <f t="shared" ref="AF90:AF95" si="96">IF(OR(H90="",J90=""),FALSE,IF(H90&lt;&gt;J90,TRUE,FALSE))</f>
        <v>0</v>
      </c>
      <c r="AG90" s="1" t="str">
        <f>IF(AF90, COUNTIF($AF$2:AF90, TRUE), "")</f>
        <v/>
      </c>
    </row>
    <row r="91" spans="1:33" ht="60" hidden="1" outlineLevel="1" x14ac:dyDescent="0.25">
      <c r="A91" s="1" t="s">
        <v>232</v>
      </c>
      <c r="B91" s="1" t="s">
        <v>34</v>
      </c>
      <c r="C91" s="1" t="s">
        <v>35</v>
      </c>
      <c r="D91" s="1" t="s">
        <v>233</v>
      </c>
      <c r="E91" s="1" t="s">
        <v>237</v>
      </c>
      <c r="F91" s="4" t="s">
        <v>238</v>
      </c>
      <c r="G91" s="5">
        <v>16.666666666666661</v>
      </c>
      <c r="H91" s="16"/>
      <c r="I91" s="3"/>
      <c r="J91" s="16" t="str">
        <f t="shared" si="84"/>
        <v/>
      </c>
      <c r="K91" s="17"/>
      <c r="L91" s="4" t="s">
        <v>239</v>
      </c>
      <c r="M91" s="1" t="str">
        <f>IFERROR(INDEX(__key!$D:$D,MATCH(O91&amp;"|"&amp;SUBSTITUTE(H91,",",";"), __key!$E:$E, 0)), "")</f>
        <v/>
      </c>
      <c r="N91" s="1" t="str">
        <f>IFERROR(INDEX(__key!$D:$D,MATCH(O91&amp;"|"&amp;SUBSTITUTE(J91,",",";"), __key!$E:$E, 0)), "")</f>
        <v/>
      </c>
      <c r="O91" s="1" t="s">
        <v>51</v>
      </c>
      <c r="P91" s="1"/>
      <c r="Q91" s="1" t="s">
        <v>41</v>
      </c>
      <c r="R91" s="1">
        <v>4182</v>
      </c>
      <c r="S91" s="1">
        <f t="shared" si="85"/>
        <v>0</v>
      </c>
      <c r="T91" s="1">
        <f t="shared" si="85"/>
        <v>0</v>
      </c>
      <c r="U91" s="1">
        <f t="shared" si="86"/>
        <v>16.666666666666661</v>
      </c>
      <c r="V91" s="1">
        <f t="shared" si="87"/>
        <v>99.999999999999957</v>
      </c>
      <c r="W91" s="1">
        <f t="shared" si="88"/>
        <v>0.16666666666666669</v>
      </c>
      <c r="X91" s="1" t="str">
        <f t="shared" si="89"/>
        <v/>
      </c>
      <c r="Y91" s="1" t="b">
        <f t="shared" si="90"/>
        <v>0</v>
      </c>
      <c r="Z91" s="1" t="str">
        <f>IF(Y91, COUNTIF($Y$2:Y91, TRUE), "")</f>
        <v/>
      </c>
      <c r="AA91" s="1">
        <f t="shared" si="91"/>
        <v>16.666666666666661</v>
      </c>
      <c r="AB91" s="1">
        <f t="shared" si="92"/>
        <v>99.999999999999957</v>
      </c>
      <c r="AC91" s="1">
        <f t="shared" si="93"/>
        <v>0.16666666666666669</v>
      </c>
      <c r="AD91" s="1" t="str">
        <f t="shared" si="94"/>
        <v/>
      </c>
      <c r="AE91" s="1" t="b">
        <f t="shared" si="95"/>
        <v>0</v>
      </c>
      <c r="AF91" s="1" t="b">
        <f t="shared" si="96"/>
        <v>0</v>
      </c>
      <c r="AG91" s="1" t="str">
        <f>IF(AF91, COUNTIF($AF$2:AF91, TRUE), "")</f>
        <v/>
      </c>
    </row>
    <row r="92" spans="1:33" ht="60" hidden="1" outlineLevel="1" x14ac:dyDescent="0.25">
      <c r="A92" s="1" t="s">
        <v>232</v>
      </c>
      <c r="B92" s="1" t="s">
        <v>34</v>
      </c>
      <c r="C92" s="1" t="s">
        <v>35</v>
      </c>
      <c r="D92" s="1" t="s">
        <v>233</v>
      </c>
      <c r="E92" s="1" t="s">
        <v>240</v>
      </c>
      <c r="F92" s="4" t="s">
        <v>241</v>
      </c>
      <c r="G92" s="5">
        <v>16.666666666666661</v>
      </c>
      <c r="H92" s="16"/>
      <c r="I92" s="3"/>
      <c r="J92" s="16" t="str">
        <f t="shared" si="84"/>
        <v/>
      </c>
      <c r="K92" s="17"/>
      <c r="L92" s="4" t="s">
        <v>242</v>
      </c>
      <c r="M92" s="1" t="str">
        <f>IFERROR(INDEX(__key!$D:$D,MATCH(O92&amp;"|"&amp;SUBSTITUTE(H92,",",";"), __key!$E:$E, 0)), "")</f>
        <v/>
      </c>
      <c r="N92" s="1" t="str">
        <f>IFERROR(INDEX(__key!$D:$D,MATCH(O92&amp;"|"&amp;SUBSTITUTE(J92,",",";"), __key!$E:$E, 0)), "")</f>
        <v/>
      </c>
      <c r="O92" s="1" t="s">
        <v>51</v>
      </c>
      <c r="P92" s="1"/>
      <c r="Q92" s="1" t="s">
        <v>41</v>
      </c>
      <c r="R92" s="1">
        <v>4183</v>
      </c>
      <c r="S92" s="1">
        <f t="shared" si="85"/>
        <v>0</v>
      </c>
      <c r="T92" s="1">
        <f t="shared" si="85"/>
        <v>0</v>
      </c>
      <c r="U92" s="1">
        <f t="shared" si="86"/>
        <v>16.666666666666661</v>
      </c>
      <c r="V92" s="1">
        <f t="shared" si="87"/>
        <v>99.999999999999957</v>
      </c>
      <c r="W92" s="1">
        <f t="shared" si="88"/>
        <v>0.16666666666666669</v>
      </c>
      <c r="X92" s="1" t="str">
        <f t="shared" si="89"/>
        <v/>
      </c>
      <c r="Y92" s="1" t="b">
        <f t="shared" si="90"/>
        <v>0</v>
      </c>
      <c r="Z92" s="1" t="str">
        <f>IF(Y92, COUNTIF($Y$2:Y92, TRUE), "")</f>
        <v/>
      </c>
      <c r="AA92" s="1">
        <f t="shared" si="91"/>
        <v>16.666666666666661</v>
      </c>
      <c r="AB92" s="1">
        <f t="shared" si="92"/>
        <v>99.999999999999957</v>
      </c>
      <c r="AC92" s="1">
        <f t="shared" si="93"/>
        <v>0.16666666666666669</v>
      </c>
      <c r="AD92" s="1" t="str">
        <f t="shared" si="94"/>
        <v/>
      </c>
      <c r="AE92" s="1" t="b">
        <f t="shared" si="95"/>
        <v>0</v>
      </c>
      <c r="AF92" s="1" t="b">
        <f t="shared" si="96"/>
        <v>0</v>
      </c>
      <c r="AG92" s="1" t="str">
        <f>IF(AF92, COUNTIF($AF$2:AF92, TRUE), "")</f>
        <v/>
      </c>
    </row>
    <row r="93" spans="1:33" ht="45" hidden="1" outlineLevel="1" x14ac:dyDescent="0.25">
      <c r="A93" s="1" t="s">
        <v>232</v>
      </c>
      <c r="B93" s="1" t="s">
        <v>34</v>
      </c>
      <c r="C93" s="1" t="s">
        <v>35</v>
      </c>
      <c r="D93" s="1" t="s">
        <v>233</v>
      </c>
      <c r="E93" s="1" t="s">
        <v>243</v>
      </c>
      <c r="F93" s="4" t="s">
        <v>244</v>
      </c>
      <c r="G93" s="5">
        <v>16.666666666666661</v>
      </c>
      <c r="H93" s="16"/>
      <c r="I93" s="3"/>
      <c r="J93" s="16" t="str">
        <f t="shared" si="84"/>
        <v/>
      </c>
      <c r="K93" s="17"/>
      <c r="L93" s="4" t="s">
        <v>245</v>
      </c>
      <c r="M93" s="1" t="str">
        <f>IFERROR(INDEX(__key!$D:$D,MATCH(O93&amp;"|"&amp;SUBSTITUTE(H93,",",";"), __key!$E:$E, 0)), "")</f>
        <v/>
      </c>
      <c r="N93" s="1" t="str">
        <f>IFERROR(INDEX(__key!$D:$D,MATCH(O93&amp;"|"&amp;SUBSTITUTE(J93,",",";"), __key!$E:$E, 0)), "")</f>
        <v/>
      </c>
      <c r="O93" s="1" t="s">
        <v>51</v>
      </c>
      <c r="P93" s="1"/>
      <c r="Q93" s="1" t="s">
        <v>41</v>
      </c>
      <c r="R93" s="1">
        <v>4184</v>
      </c>
      <c r="S93" s="1">
        <f t="shared" si="85"/>
        <v>0</v>
      </c>
      <c r="T93" s="1">
        <f t="shared" si="85"/>
        <v>0</v>
      </c>
      <c r="U93" s="1">
        <f t="shared" si="86"/>
        <v>16.666666666666661</v>
      </c>
      <c r="V93" s="1">
        <f t="shared" si="87"/>
        <v>99.999999999999957</v>
      </c>
      <c r="W93" s="1">
        <f t="shared" si="88"/>
        <v>0.16666666666666669</v>
      </c>
      <c r="X93" s="1" t="str">
        <f t="shared" si="89"/>
        <v/>
      </c>
      <c r="Y93" s="1" t="b">
        <f t="shared" si="90"/>
        <v>0</v>
      </c>
      <c r="Z93" s="1" t="str">
        <f>IF(Y93, COUNTIF($Y$2:Y93, TRUE), "")</f>
        <v/>
      </c>
      <c r="AA93" s="1">
        <f t="shared" si="91"/>
        <v>16.666666666666661</v>
      </c>
      <c r="AB93" s="1">
        <f t="shared" si="92"/>
        <v>99.999999999999957</v>
      </c>
      <c r="AC93" s="1">
        <f t="shared" si="93"/>
        <v>0.16666666666666669</v>
      </c>
      <c r="AD93" s="1" t="str">
        <f t="shared" si="94"/>
        <v/>
      </c>
      <c r="AE93" s="1" t="b">
        <f t="shared" si="95"/>
        <v>0</v>
      </c>
      <c r="AF93" s="1" t="b">
        <f t="shared" si="96"/>
        <v>0</v>
      </c>
      <c r="AG93" s="1" t="str">
        <f>IF(AF93, COUNTIF($AF$2:AF93, TRUE), "")</f>
        <v/>
      </c>
    </row>
    <row r="94" spans="1:33" ht="45" hidden="1" outlineLevel="1" x14ac:dyDescent="0.25">
      <c r="A94" s="1" t="s">
        <v>232</v>
      </c>
      <c r="B94" s="1" t="s">
        <v>34</v>
      </c>
      <c r="C94" s="1" t="s">
        <v>35</v>
      </c>
      <c r="D94" s="1" t="s">
        <v>233</v>
      </c>
      <c r="E94" s="1" t="s">
        <v>246</v>
      </c>
      <c r="F94" s="4" t="s">
        <v>247</v>
      </c>
      <c r="G94" s="5">
        <v>16.666666666666661</v>
      </c>
      <c r="H94" s="16"/>
      <c r="I94" s="3"/>
      <c r="J94" s="16" t="str">
        <f t="shared" si="84"/>
        <v/>
      </c>
      <c r="K94" s="17"/>
      <c r="L94" s="4" t="s">
        <v>248</v>
      </c>
      <c r="M94" s="1" t="str">
        <f>IFERROR(INDEX(__key!$D:$D,MATCH(O94&amp;"|"&amp;SUBSTITUTE(H94,",",";"), __key!$E:$E, 0)), "")</f>
        <v/>
      </c>
      <c r="N94" s="1" t="str">
        <f>IFERROR(INDEX(__key!$D:$D,MATCH(O94&amp;"|"&amp;SUBSTITUTE(J94,",",";"), __key!$E:$E, 0)), "")</f>
        <v/>
      </c>
      <c r="O94" s="1" t="s">
        <v>51</v>
      </c>
      <c r="P94" s="1"/>
      <c r="Q94" s="1" t="s">
        <v>41</v>
      </c>
      <c r="R94" s="1">
        <v>4185</v>
      </c>
      <c r="S94" s="1">
        <f t="shared" si="85"/>
        <v>0</v>
      </c>
      <c r="T94" s="1">
        <f t="shared" si="85"/>
        <v>0</v>
      </c>
      <c r="U94" s="1">
        <f t="shared" si="86"/>
        <v>16.666666666666661</v>
      </c>
      <c r="V94" s="1">
        <f t="shared" si="87"/>
        <v>99.999999999999957</v>
      </c>
      <c r="W94" s="1">
        <f t="shared" si="88"/>
        <v>0.16666666666666669</v>
      </c>
      <c r="X94" s="1" t="str">
        <f t="shared" si="89"/>
        <v/>
      </c>
      <c r="Y94" s="1" t="b">
        <f t="shared" si="90"/>
        <v>0</v>
      </c>
      <c r="Z94" s="1" t="str">
        <f>IF(Y94, COUNTIF($Y$2:Y94, TRUE), "")</f>
        <v/>
      </c>
      <c r="AA94" s="1">
        <f t="shared" si="91"/>
        <v>16.666666666666661</v>
      </c>
      <c r="AB94" s="1">
        <f t="shared" si="92"/>
        <v>99.999999999999957</v>
      </c>
      <c r="AC94" s="1">
        <f t="shared" si="93"/>
        <v>0.16666666666666669</v>
      </c>
      <c r="AD94" s="1" t="str">
        <f t="shared" si="94"/>
        <v/>
      </c>
      <c r="AE94" s="1" t="b">
        <f t="shared" si="95"/>
        <v>0</v>
      </c>
      <c r="AF94" s="1" t="b">
        <f t="shared" si="96"/>
        <v>0</v>
      </c>
      <c r="AG94" s="1" t="str">
        <f>IF(AF94, COUNTIF($AF$2:AF94, TRUE), "")</f>
        <v/>
      </c>
    </row>
    <row r="95" spans="1:33" ht="45" hidden="1" outlineLevel="1" x14ac:dyDescent="0.25">
      <c r="A95" s="1" t="s">
        <v>232</v>
      </c>
      <c r="B95" s="1" t="s">
        <v>34</v>
      </c>
      <c r="C95" s="1" t="s">
        <v>35</v>
      </c>
      <c r="D95" s="1" t="s">
        <v>233</v>
      </c>
      <c r="E95" s="1" t="s">
        <v>249</v>
      </c>
      <c r="F95" s="4" t="s">
        <v>250</v>
      </c>
      <c r="G95" s="5">
        <v>16.666666666666661</v>
      </c>
      <c r="H95" s="16"/>
      <c r="I95" s="3"/>
      <c r="J95" s="16" t="str">
        <f t="shared" si="84"/>
        <v/>
      </c>
      <c r="K95" s="17"/>
      <c r="L95" s="4" t="s">
        <v>251</v>
      </c>
      <c r="M95" s="1" t="str">
        <f>IFERROR(INDEX(__key!$D:$D,MATCH(O95&amp;"|"&amp;SUBSTITUTE(H95,",",";"), __key!$E:$E, 0)), "")</f>
        <v/>
      </c>
      <c r="N95" s="1" t="str">
        <f>IFERROR(INDEX(__key!$D:$D,MATCH(O95&amp;"|"&amp;SUBSTITUTE(J95,",",";"), __key!$E:$E, 0)), "")</f>
        <v/>
      </c>
      <c r="O95" s="1" t="s">
        <v>51</v>
      </c>
      <c r="P95" s="1"/>
      <c r="Q95" s="1" t="s">
        <v>41</v>
      </c>
      <c r="R95" s="1">
        <v>4186</v>
      </c>
      <c r="S95" s="1">
        <f t="shared" si="85"/>
        <v>0</v>
      </c>
      <c r="T95" s="1">
        <f t="shared" si="85"/>
        <v>0</v>
      </c>
      <c r="U95" s="1">
        <f t="shared" si="86"/>
        <v>16.666666666666661</v>
      </c>
      <c r="V95" s="1">
        <f t="shared" si="87"/>
        <v>99.999999999999957</v>
      </c>
      <c r="W95" s="1">
        <f t="shared" si="88"/>
        <v>0.16666666666666669</v>
      </c>
      <c r="X95" s="1" t="str">
        <f t="shared" si="89"/>
        <v/>
      </c>
      <c r="Y95" s="1" t="b">
        <f t="shared" si="90"/>
        <v>0</v>
      </c>
      <c r="Z95" s="1" t="str">
        <f>IF(Y95, COUNTIF($Y$2:Y95, TRUE), "")</f>
        <v/>
      </c>
      <c r="AA95" s="1">
        <f t="shared" si="91"/>
        <v>16.666666666666661</v>
      </c>
      <c r="AB95" s="1">
        <f t="shared" si="92"/>
        <v>99.999999999999957</v>
      </c>
      <c r="AC95" s="1">
        <f t="shared" si="93"/>
        <v>0.16666666666666669</v>
      </c>
      <c r="AD95" s="1" t="str">
        <f t="shared" si="94"/>
        <v/>
      </c>
      <c r="AE95" s="1" t="b">
        <f t="shared" si="95"/>
        <v>0</v>
      </c>
      <c r="AF95" s="1" t="b">
        <f t="shared" si="96"/>
        <v>0</v>
      </c>
      <c r="AG95" s="1" t="str">
        <f>IF(AF95, COUNTIF($AF$2:AF95, TRUE), "")</f>
        <v/>
      </c>
    </row>
    <row r="96" spans="1:33" ht="30" customHeight="1" collapsed="1" x14ac:dyDescent="0.25">
      <c r="A96" s="1"/>
      <c r="B96" s="1"/>
      <c r="C96" s="1"/>
      <c r="D96" s="1"/>
      <c r="E96" s="1"/>
      <c r="F96" s="14" t="s">
        <v>252</v>
      </c>
      <c r="G96" s="15"/>
      <c r="H96" s="14"/>
      <c r="I96" s="14"/>
      <c r="J96" s="14"/>
      <c r="K96" s="14"/>
      <c r="L96" s="14"/>
      <c r="M96" s="1"/>
      <c r="N96" s="1"/>
      <c r="O96" s="1"/>
      <c r="P96" s="1"/>
      <c r="Q96" s="1"/>
      <c r="R96" s="1"/>
      <c r="S96" s="1"/>
      <c r="T96" s="1"/>
      <c r="U96" s="1"/>
      <c r="V96" s="1"/>
      <c r="W96" s="1"/>
      <c r="X96" s="1"/>
      <c r="Y96" s="1"/>
      <c r="Z96" s="1"/>
      <c r="AA96" s="1"/>
      <c r="AB96" s="1"/>
      <c r="AC96" s="1"/>
      <c r="AD96" s="1"/>
      <c r="AE96" s="1"/>
      <c r="AF96" s="1"/>
      <c r="AG96" s="1"/>
    </row>
    <row r="97" spans="1:33" ht="30" hidden="1" outlineLevel="1" x14ac:dyDescent="0.25">
      <c r="A97" s="1" t="s">
        <v>252</v>
      </c>
      <c r="B97" s="1" t="s">
        <v>34</v>
      </c>
      <c r="C97" s="1" t="s">
        <v>253</v>
      </c>
      <c r="D97" s="1" t="s">
        <v>254</v>
      </c>
      <c r="E97" s="1" t="s">
        <v>255</v>
      </c>
      <c r="F97" s="4" t="s">
        <v>256</v>
      </c>
      <c r="G97" s="5">
        <v>8.3333333333333321</v>
      </c>
      <c r="H97" s="16"/>
      <c r="I97" s="3"/>
      <c r="J97" s="16" t="str">
        <f t="shared" ref="J97:J108" si="97">IF(H97="","",H97)</f>
        <v/>
      </c>
      <c r="K97" s="17"/>
      <c r="L97" s="4"/>
      <c r="M97" s="1" t="str">
        <f>IFERROR(INDEX(__key!$D:$D,MATCH(O97&amp;"|"&amp;SUBSTITUTE(H97,",",";"), __key!$E:$E, 0)), "")</f>
        <v/>
      </c>
      <c r="N97" s="1" t="str">
        <f>IFERROR(INDEX(__key!$D:$D,MATCH(O97&amp;"|"&amp;SUBSTITUTE(J97,",",";"), __key!$E:$E, 0)), "")</f>
        <v/>
      </c>
      <c r="O97" s="1" t="s">
        <v>51</v>
      </c>
      <c r="P97" s="1"/>
      <c r="Q97" s="1" t="s">
        <v>257</v>
      </c>
      <c r="R97" s="1">
        <v>4211</v>
      </c>
      <c r="S97" s="1">
        <f t="shared" ref="S97:S108" si="98">IFERROR(1*M97,0)</f>
        <v>0</v>
      </c>
      <c r="T97" s="1">
        <f t="shared" ref="T97:T108" si="99">IFERROR(1*N97,0)</f>
        <v>0</v>
      </c>
      <c r="U97" s="1">
        <f t="shared" ref="U97:U108" si="100">IFERROR(IF(ISNUMBER(SEARCH("Not Relevant",H97)),0,VALUE(G97)),"")</f>
        <v>8.3333333333333321</v>
      </c>
      <c r="V97" s="1">
        <f t="shared" ref="V97:V108" si="101">IFERROR(SUMIF($D:$D,D97,$U:$U),"")</f>
        <v>99.999999999999957</v>
      </c>
      <c r="W97" s="1">
        <f t="shared" ref="W97:W108" si="102">IF(OR(V97=0,V97=""),"",U97/V97)</f>
        <v>8.3333333333333356E-2</v>
      </c>
      <c r="X97" s="1" t="str">
        <f t="shared" ref="X97:X108" si="103">IF(OR(M97="",W97=""),"",VALUE(M97)*W97)</f>
        <v/>
      </c>
      <c r="Y97" s="1" t="b">
        <f t="shared" ref="Y97:Y108" si="104">IFERROR(ISNUMBER(SEARCH("Not Relevant",H97)),FALSE)</f>
        <v>0</v>
      </c>
      <c r="Z97" s="1" t="str">
        <f>IF(Y97, COUNTIF($Y$2:Y97, TRUE), "")</f>
        <v/>
      </c>
      <c r="AA97" s="1">
        <f t="shared" ref="AA97:AA108" si="105">IFERROR(IF(ISNUMBER(SEARCH("Not Relevant",J97)),0,VALUE(G97)),"")</f>
        <v>8.3333333333333321</v>
      </c>
      <c r="AB97" s="1">
        <f t="shared" ref="AB97:AB108" si="106">IFERROR(SUMIF($D:$D,D97,$AA:$AA),"")</f>
        <v>99.999999999999957</v>
      </c>
      <c r="AC97" s="1">
        <f t="shared" ref="AC97:AC108" si="107">IF(OR(AB97=0,AB97=""),"",AA97/AB97)</f>
        <v>8.3333333333333356E-2</v>
      </c>
      <c r="AD97" s="1" t="str">
        <f t="shared" ref="AD97:AD108" si="108">IF(OR(N97="",AC97=""),"",VALUE(N97)*AC97)</f>
        <v/>
      </c>
      <c r="AE97" s="1" t="b">
        <f t="shared" ref="AE97:AE108" si="109">IFERROR(ISNUMBER(SEARCH("Not Relevant",J97)),FALSE)</f>
        <v>0</v>
      </c>
      <c r="AF97" s="1" t="b">
        <f t="shared" ref="AF97:AF108" si="110">IF(OR(H97="",J97=""),FALSE,IF(H97&lt;&gt;J97,TRUE,FALSE))</f>
        <v>0</v>
      </c>
      <c r="AG97" s="1" t="str">
        <f>IF(AF97, COUNTIF($AF$2:AF97, TRUE), "")</f>
        <v/>
      </c>
    </row>
    <row r="98" spans="1:33" ht="60" hidden="1" outlineLevel="1" x14ac:dyDescent="0.25">
      <c r="A98" s="1" t="s">
        <v>252</v>
      </c>
      <c r="B98" s="1" t="s">
        <v>34</v>
      </c>
      <c r="C98" s="1" t="s">
        <v>253</v>
      </c>
      <c r="D98" s="1" t="s">
        <v>254</v>
      </c>
      <c r="E98" s="1" t="s">
        <v>258</v>
      </c>
      <c r="F98" s="4" t="s">
        <v>259</v>
      </c>
      <c r="G98" s="5">
        <v>8.3333333333333321</v>
      </c>
      <c r="H98" s="16"/>
      <c r="I98" s="3"/>
      <c r="J98" s="16" t="str">
        <f t="shared" si="97"/>
        <v/>
      </c>
      <c r="K98" s="17"/>
      <c r="L98" s="4"/>
      <c r="M98" s="1" t="str">
        <f>IFERROR(INDEX(__key!$D:$D,MATCH(O98&amp;"|"&amp;SUBSTITUTE(H98,",",";"), __key!$E:$E, 0)), "")</f>
        <v/>
      </c>
      <c r="N98" s="1" t="str">
        <f>IFERROR(INDEX(__key!$D:$D,MATCH(O98&amp;"|"&amp;SUBSTITUTE(J98,",",";"), __key!$E:$E, 0)), "")</f>
        <v/>
      </c>
      <c r="O98" s="1" t="s">
        <v>51</v>
      </c>
      <c r="P98" s="1"/>
      <c r="Q98" s="1" t="s">
        <v>257</v>
      </c>
      <c r="R98" s="1">
        <v>4212</v>
      </c>
      <c r="S98" s="1">
        <f t="shared" si="98"/>
        <v>0</v>
      </c>
      <c r="T98" s="1">
        <f t="shared" si="99"/>
        <v>0</v>
      </c>
      <c r="U98" s="1">
        <f t="shared" si="100"/>
        <v>8.3333333333333321</v>
      </c>
      <c r="V98" s="1">
        <f t="shared" si="101"/>
        <v>99.999999999999957</v>
      </c>
      <c r="W98" s="1">
        <f t="shared" si="102"/>
        <v>8.3333333333333356E-2</v>
      </c>
      <c r="X98" s="1" t="str">
        <f t="shared" si="103"/>
        <v/>
      </c>
      <c r="Y98" s="1" t="b">
        <f t="shared" si="104"/>
        <v>0</v>
      </c>
      <c r="Z98" s="1" t="str">
        <f>IF(Y98, COUNTIF($Y$2:Y98, TRUE), "")</f>
        <v/>
      </c>
      <c r="AA98" s="1">
        <f t="shared" si="105"/>
        <v>8.3333333333333321</v>
      </c>
      <c r="AB98" s="1">
        <f t="shared" si="106"/>
        <v>99.999999999999957</v>
      </c>
      <c r="AC98" s="1">
        <f t="shared" si="107"/>
        <v>8.3333333333333356E-2</v>
      </c>
      <c r="AD98" s="1" t="str">
        <f t="shared" si="108"/>
        <v/>
      </c>
      <c r="AE98" s="1" t="b">
        <f t="shared" si="109"/>
        <v>0</v>
      </c>
      <c r="AF98" s="1" t="b">
        <f t="shared" si="110"/>
        <v>0</v>
      </c>
      <c r="AG98" s="1" t="str">
        <f>IF(AF98, COUNTIF($AF$2:AF98, TRUE), "")</f>
        <v/>
      </c>
    </row>
    <row r="99" spans="1:33" ht="30" hidden="1" outlineLevel="1" x14ac:dyDescent="0.25">
      <c r="A99" s="1" t="s">
        <v>252</v>
      </c>
      <c r="B99" s="1" t="s">
        <v>34</v>
      </c>
      <c r="C99" s="1" t="s">
        <v>253</v>
      </c>
      <c r="D99" s="1" t="s">
        <v>254</v>
      </c>
      <c r="E99" s="1" t="s">
        <v>260</v>
      </c>
      <c r="F99" s="4" t="s">
        <v>261</v>
      </c>
      <c r="G99" s="5">
        <v>8.3333333333333321</v>
      </c>
      <c r="H99" s="16"/>
      <c r="I99" s="3"/>
      <c r="J99" s="16" t="str">
        <f t="shared" si="97"/>
        <v/>
      </c>
      <c r="K99" s="17"/>
      <c r="L99" s="4"/>
      <c r="M99" s="1" t="str">
        <f>IFERROR(INDEX(__key!$D:$D,MATCH(O99&amp;"|"&amp;SUBSTITUTE(H99,",",";"), __key!$E:$E, 0)), "")</f>
        <v/>
      </c>
      <c r="N99" s="1" t="str">
        <f>IFERROR(INDEX(__key!$D:$D,MATCH(O99&amp;"|"&amp;SUBSTITUTE(J99,",",";"), __key!$E:$E, 0)), "")</f>
        <v/>
      </c>
      <c r="O99" s="1" t="s">
        <v>51</v>
      </c>
      <c r="P99" s="1"/>
      <c r="Q99" s="1" t="s">
        <v>257</v>
      </c>
      <c r="R99" s="1">
        <v>4213</v>
      </c>
      <c r="S99" s="1">
        <f t="shared" si="98"/>
        <v>0</v>
      </c>
      <c r="T99" s="1">
        <f t="shared" si="99"/>
        <v>0</v>
      </c>
      <c r="U99" s="1">
        <f t="shared" si="100"/>
        <v>8.3333333333333321</v>
      </c>
      <c r="V99" s="1">
        <f t="shared" si="101"/>
        <v>99.999999999999957</v>
      </c>
      <c r="W99" s="1">
        <f t="shared" si="102"/>
        <v>8.3333333333333356E-2</v>
      </c>
      <c r="X99" s="1" t="str">
        <f t="shared" si="103"/>
        <v/>
      </c>
      <c r="Y99" s="1" t="b">
        <f t="shared" si="104"/>
        <v>0</v>
      </c>
      <c r="Z99" s="1" t="str">
        <f>IF(Y99, COUNTIF($Y$2:Y99, TRUE), "")</f>
        <v/>
      </c>
      <c r="AA99" s="1">
        <f t="shared" si="105"/>
        <v>8.3333333333333321</v>
      </c>
      <c r="AB99" s="1">
        <f t="shared" si="106"/>
        <v>99.999999999999957</v>
      </c>
      <c r="AC99" s="1">
        <f t="shared" si="107"/>
        <v>8.3333333333333356E-2</v>
      </c>
      <c r="AD99" s="1" t="str">
        <f t="shared" si="108"/>
        <v/>
      </c>
      <c r="AE99" s="1" t="b">
        <f t="shared" si="109"/>
        <v>0</v>
      </c>
      <c r="AF99" s="1" t="b">
        <f t="shared" si="110"/>
        <v>0</v>
      </c>
      <c r="AG99" s="1" t="str">
        <f>IF(AF99, COUNTIF($AF$2:AF99, TRUE), "")</f>
        <v/>
      </c>
    </row>
    <row r="100" spans="1:33" ht="60" hidden="1" outlineLevel="1" x14ac:dyDescent="0.25">
      <c r="A100" s="1" t="s">
        <v>252</v>
      </c>
      <c r="B100" s="1" t="s">
        <v>34</v>
      </c>
      <c r="C100" s="1" t="s">
        <v>253</v>
      </c>
      <c r="D100" s="1" t="s">
        <v>254</v>
      </c>
      <c r="E100" s="1" t="s">
        <v>262</v>
      </c>
      <c r="F100" s="4" t="s">
        <v>263</v>
      </c>
      <c r="G100" s="5">
        <v>8.3333333333333321</v>
      </c>
      <c r="H100" s="16"/>
      <c r="I100" s="3"/>
      <c r="J100" s="16" t="str">
        <f t="shared" si="97"/>
        <v/>
      </c>
      <c r="K100" s="17"/>
      <c r="L100" s="4"/>
      <c r="M100" s="1" t="str">
        <f>IFERROR(INDEX(__key!$D:$D,MATCH(O100&amp;"|"&amp;SUBSTITUTE(H100,",",";"), __key!$E:$E, 0)), "")</f>
        <v/>
      </c>
      <c r="N100" s="1" t="str">
        <f>IFERROR(INDEX(__key!$D:$D,MATCH(O100&amp;"|"&amp;SUBSTITUTE(J100,",",";"), __key!$E:$E, 0)), "")</f>
        <v/>
      </c>
      <c r="O100" s="1" t="s">
        <v>51</v>
      </c>
      <c r="P100" s="1"/>
      <c r="Q100" s="1" t="s">
        <v>257</v>
      </c>
      <c r="R100" s="1">
        <v>4214</v>
      </c>
      <c r="S100" s="1">
        <f t="shared" si="98"/>
        <v>0</v>
      </c>
      <c r="T100" s="1">
        <f t="shared" si="99"/>
        <v>0</v>
      </c>
      <c r="U100" s="1">
        <f t="shared" si="100"/>
        <v>8.3333333333333321</v>
      </c>
      <c r="V100" s="1">
        <f t="shared" si="101"/>
        <v>99.999999999999957</v>
      </c>
      <c r="W100" s="1">
        <f t="shared" si="102"/>
        <v>8.3333333333333356E-2</v>
      </c>
      <c r="X100" s="1" t="str">
        <f t="shared" si="103"/>
        <v/>
      </c>
      <c r="Y100" s="1" t="b">
        <f t="shared" si="104"/>
        <v>0</v>
      </c>
      <c r="Z100" s="1" t="str">
        <f>IF(Y100, COUNTIF($Y$2:Y100, TRUE), "")</f>
        <v/>
      </c>
      <c r="AA100" s="1">
        <f t="shared" si="105"/>
        <v>8.3333333333333321</v>
      </c>
      <c r="AB100" s="1">
        <f t="shared" si="106"/>
        <v>99.999999999999957</v>
      </c>
      <c r="AC100" s="1">
        <f t="shared" si="107"/>
        <v>8.3333333333333356E-2</v>
      </c>
      <c r="AD100" s="1" t="str">
        <f t="shared" si="108"/>
        <v/>
      </c>
      <c r="AE100" s="1" t="b">
        <f t="shared" si="109"/>
        <v>0</v>
      </c>
      <c r="AF100" s="1" t="b">
        <f t="shared" si="110"/>
        <v>0</v>
      </c>
      <c r="AG100" s="1" t="str">
        <f>IF(AF100, COUNTIF($AF$2:AF100, TRUE), "")</f>
        <v/>
      </c>
    </row>
    <row r="101" spans="1:33" ht="60" hidden="1" outlineLevel="1" x14ac:dyDescent="0.25">
      <c r="A101" s="1" t="s">
        <v>252</v>
      </c>
      <c r="B101" s="1" t="s">
        <v>34</v>
      </c>
      <c r="C101" s="1" t="s">
        <v>253</v>
      </c>
      <c r="D101" s="1" t="s">
        <v>254</v>
      </c>
      <c r="E101" s="1" t="s">
        <v>264</v>
      </c>
      <c r="F101" s="4" t="s">
        <v>265</v>
      </c>
      <c r="G101" s="5">
        <v>8.3333333333333321</v>
      </c>
      <c r="H101" s="16"/>
      <c r="I101" s="3"/>
      <c r="J101" s="16" t="str">
        <f t="shared" si="97"/>
        <v/>
      </c>
      <c r="K101" s="17"/>
      <c r="L101" s="4"/>
      <c r="M101" s="1" t="str">
        <f>IFERROR(INDEX(__key!$D:$D,MATCH(O101&amp;"|"&amp;SUBSTITUTE(H101,",",";"), __key!$E:$E, 0)), "")</f>
        <v/>
      </c>
      <c r="N101" s="1" t="str">
        <f>IFERROR(INDEX(__key!$D:$D,MATCH(O101&amp;"|"&amp;SUBSTITUTE(J101,",",";"), __key!$E:$E, 0)), "")</f>
        <v/>
      </c>
      <c r="O101" s="1" t="s">
        <v>51</v>
      </c>
      <c r="P101" s="1"/>
      <c r="Q101" s="1" t="s">
        <v>257</v>
      </c>
      <c r="R101" s="1">
        <v>4215</v>
      </c>
      <c r="S101" s="1">
        <f t="shared" si="98"/>
        <v>0</v>
      </c>
      <c r="T101" s="1">
        <f t="shared" si="99"/>
        <v>0</v>
      </c>
      <c r="U101" s="1">
        <f t="shared" si="100"/>
        <v>8.3333333333333321</v>
      </c>
      <c r="V101" s="1">
        <f t="shared" si="101"/>
        <v>99.999999999999957</v>
      </c>
      <c r="W101" s="1">
        <f t="shared" si="102"/>
        <v>8.3333333333333356E-2</v>
      </c>
      <c r="X101" s="1" t="str">
        <f t="shared" si="103"/>
        <v/>
      </c>
      <c r="Y101" s="1" t="b">
        <f t="shared" si="104"/>
        <v>0</v>
      </c>
      <c r="Z101" s="1" t="str">
        <f>IF(Y101, COUNTIF($Y$2:Y101, TRUE), "")</f>
        <v/>
      </c>
      <c r="AA101" s="1">
        <f t="shared" si="105"/>
        <v>8.3333333333333321</v>
      </c>
      <c r="AB101" s="1">
        <f t="shared" si="106"/>
        <v>99.999999999999957</v>
      </c>
      <c r="AC101" s="1">
        <f t="shared" si="107"/>
        <v>8.3333333333333356E-2</v>
      </c>
      <c r="AD101" s="1" t="str">
        <f t="shared" si="108"/>
        <v/>
      </c>
      <c r="AE101" s="1" t="b">
        <f t="shared" si="109"/>
        <v>0</v>
      </c>
      <c r="AF101" s="1" t="b">
        <f t="shared" si="110"/>
        <v>0</v>
      </c>
      <c r="AG101" s="1" t="str">
        <f>IF(AF101, COUNTIF($AF$2:AF101, TRUE), "")</f>
        <v/>
      </c>
    </row>
    <row r="102" spans="1:33" ht="60" hidden="1" outlineLevel="1" x14ac:dyDescent="0.25">
      <c r="A102" s="1" t="s">
        <v>252</v>
      </c>
      <c r="B102" s="1" t="s">
        <v>34</v>
      </c>
      <c r="C102" s="1" t="s">
        <v>253</v>
      </c>
      <c r="D102" s="1" t="s">
        <v>254</v>
      </c>
      <c r="E102" s="1" t="s">
        <v>266</v>
      </c>
      <c r="F102" s="4" t="s">
        <v>267</v>
      </c>
      <c r="G102" s="5">
        <v>8.3333333333333321</v>
      </c>
      <c r="H102" s="16"/>
      <c r="I102" s="3"/>
      <c r="J102" s="16" t="str">
        <f t="shared" si="97"/>
        <v/>
      </c>
      <c r="K102" s="17"/>
      <c r="L102" s="4"/>
      <c r="M102" s="1" t="str">
        <f>IFERROR(INDEX(__key!$D:$D,MATCH(O102&amp;"|"&amp;SUBSTITUTE(H102,",",";"), __key!$E:$E, 0)), "")</f>
        <v/>
      </c>
      <c r="N102" s="1" t="str">
        <f>IFERROR(INDEX(__key!$D:$D,MATCH(O102&amp;"|"&amp;SUBSTITUTE(J102,",",";"), __key!$E:$E, 0)), "")</f>
        <v/>
      </c>
      <c r="O102" s="1" t="s">
        <v>51</v>
      </c>
      <c r="P102" s="1"/>
      <c r="Q102" s="1" t="s">
        <v>257</v>
      </c>
      <c r="R102" s="1">
        <v>4216</v>
      </c>
      <c r="S102" s="1">
        <f t="shared" si="98"/>
        <v>0</v>
      </c>
      <c r="T102" s="1">
        <f t="shared" si="99"/>
        <v>0</v>
      </c>
      <c r="U102" s="1">
        <f t="shared" si="100"/>
        <v>8.3333333333333321</v>
      </c>
      <c r="V102" s="1">
        <f t="shared" si="101"/>
        <v>99.999999999999957</v>
      </c>
      <c r="W102" s="1">
        <f t="shared" si="102"/>
        <v>8.3333333333333356E-2</v>
      </c>
      <c r="X102" s="1" t="str">
        <f t="shared" si="103"/>
        <v/>
      </c>
      <c r="Y102" s="1" t="b">
        <f t="shared" si="104"/>
        <v>0</v>
      </c>
      <c r="Z102" s="1" t="str">
        <f>IF(Y102, COUNTIF($Y$2:Y102, TRUE), "")</f>
        <v/>
      </c>
      <c r="AA102" s="1">
        <f t="shared" si="105"/>
        <v>8.3333333333333321</v>
      </c>
      <c r="AB102" s="1">
        <f t="shared" si="106"/>
        <v>99.999999999999957</v>
      </c>
      <c r="AC102" s="1">
        <f t="shared" si="107"/>
        <v>8.3333333333333356E-2</v>
      </c>
      <c r="AD102" s="1" t="str">
        <f t="shared" si="108"/>
        <v/>
      </c>
      <c r="AE102" s="1" t="b">
        <f t="shared" si="109"/>
        <v>0</v>
      </c>
      <c r="AF102" s="1" t="b">
        <f t="shared" si="110"/>
        <v>0</v>
      </c>
      <c r="AG102" s="1" t="str">
        <f>IF(AF102, COUNTIF($AF$2:AF102, TRUE), "")</f>
        <v/>
      </c>
    </row>
    <row r="103" spans="1:33" ht="45" hidden="1" outlineLevel="1" x14ac:dyDescent="0.25">
      <c r="A103" s="1" t="s">
        <v>252</v>
      </c>
      <c r="B103" s="1" t="s">
        <v>34</v>
      </c>
      <c r="C103" s="1" t="s">
        <v>253</v>
      </c>
      <c r="D103" s="1" t="s">
        <v>254</v>
      </c>
      <c r="E103" s="1" t="s">
        <v>268</v>
      </c>
      <c r="F103" s="4" t="s">
        <v>269</v>
      </c>
      <c r="G103" s="5">
        <v>8.3333333333333321</v>
      </c>
      <c r="H103" s="16"/>
      <c r="I103" s="3"/>
      <c r="J103" s="16" t="str">
        <f t="shared" si="97"/>
        <v/>
      </c>
      <c r="K103" s="17"/>
      <c r="L103" s="4"/>
      <c r="M103" s="1" t="str">
        <f>IFERROR(INDEX(__key!$D:$D,MATCH(O103&amp;"|"&amp;SUBSTITUTE(H103,",",";"), __key!$E:$E, 0)), "")</f>
        <v/>
      </c>
      <c r="N103" s="1" t="str">
        <f>IFERROR(INDEX(__key!$D:$D,MATCH(O103&amp;"|"&amp;SUBSTITUTE(J103,",",";"), __key!$E:$E, 0)), "")</f>
        <v/>
      </c>
      <c r="O103" s="1" t="s">
        <v>51</v>
      </c>
      <c r="P103" s="1"/>
      <c r="Q103" s="1" t="s">
        <v>257</v>
      </c>
      <c r="R103" s="1">
        <v>4217</v>
      </c>
      <c r="S103" s="1">
        <f t="shared" si="98"/>
        <v>0</v>
      </c>
      <c r="T103" s="1">
        <f t="shared" si="99"/>
        <v>0</v>
      </c>
      <c r="U103" s="1">
        <f t="shared" si="100"/>
        <v>8.3333333333333321</v>
      </c>
      <c r="V103" s="1">
        <f t="shared" si="101"/>
        <v>99.999999999999957</v>
      </c>
      <c r="W103" s="1">
        <f t="shared" si="102"/>
        <v>8.3333333333333356E-2</v>
      </c>
      <c r="X103" s="1" t="str">
        <f t="shared" si="103"/>
        <v/>
      </c>
      <c r="Y103" s="1" t="b">
        <f t="shared" si="104"/>
        <v>0</v>
      </c>
      <c r="Z103" s="1" t="str">
        <f>IF(Y103, COUNTIF($Y$2:Y103, TRUE), "")</f>
        <v/>
      </c>
      <c r="AA103" s="1">
        <f t="shared" si="105"/>
        <v>8.3333333333333321</v>
      </c>
      <c r="AB103" s="1">
        <f t="shared" si="106"/>
        <v>99.999999999999957</v>
      </c>
      <c r="AC103" s="1">
        <f t="shared" si="107"/>
        <v>8.3333333333333356E-2</v>
      </c>
      <c r="AD103" s="1" t="str">
        <f t="shared" si="108"/>
        <v/>
      </c>
      <c r="AE103" s="1" t="b">
        <f t="shared" si="109"/>
        <v>0</v>
      </c>
      <c r="AF103" s="1" t="b">
        <f t="shared" si="110"/>
        <v>0</v>
      </c>
      <c r="AG103" s="1" t="str">
        <f>IF(AF103, COUNTIF($AF$2:AF103, TRUE), "")</f>
        <v/>
      </c>
    </row>
    <row r="104" spans="1:33" ht="30" hidden="1" outlineLevel="1" x14ac:dyDescent="0.25">
      <c r="A104" s="1" t="s">
        <v>252</v>
      </c>
      <c r="B104" s="1" t="s">
        <v>34</v>
      </c>
      <c r="C104" s="1" t="s">
        <v>253</v>
      </c>
      <c r="D104" s="1" t="s">
        <v>254</v>
      </c>
      <c r="E104" s="1" t="s">
        <v>270</v>
      </c>
      <c r="F104" s="4" t="s">
        <v>271</v>
      </c>
      <c r="G104" s="5">
        <v>8.3333333333333321</v>
      </c>
      <c r="H104" s="16"/>
      <c r="I104" s="3"/>
      <c r="J104" s="16" t="str">
        <f t="shared" si="97"/>
        <v/>
      </c>
      <c r="K104" s="17"/>
      <c r="L104" s="4"/>
      <c r="M104" s="1" t="str">
        <f>IFERROR(INDEX(__key!$D:$D,MATCH(O104&amp;"|"&amp;SUBSTITUTE(H104,",",";"), __key!$E:$E, 0)), "")</f>
        <v/>
      </c>
      <c r="N104" s="1" t="str">
        <f>IFERROR(INDEX(__key!$D:$D,MATCH(O104&amp;"|"&amp;SUBSTITUTE(J104,",",";"), __key!$E:$E, 0)), "")</f>
        <v/>
      </c>
      <c r="O104" s="1" t="s">
        <v>58</v>
      </c>
      <c r="P104" s="1"/>
      <c r="Q104" s="1" t="s">
        <v>257</v>
      </c>
      <c r="R104" s="1">
        <v>4218</v>
      </c>
      <c r="S104" s="1">
        <f t="shared" si="98"/>
        <v>0</v>
      </c>
      <c r="T104" s="1">
        <f t="shared" si="99"/>
        <v>0</v>
      </c>
      <c r="U104" s="1">
        <f t="shared" si="100"/>
        <v>8.3333333333333321</v>
      </c>
      <c r="V104" s="1">
        <f t="shared" si="101"/>
        <v>99.999999999999957</v>
      </c>
      <c r="W104" s="1">
        <f t="shared" si="102"/>
        <v>8.3333333333333356E-2</v>
      </c>
      <c r="X104" s="1" t="str">
        <f t="shared" si="103"/>
        <v/>
      </c>
      <c r="Y104" s="1" t="b">
        <f t="shared" si="104"/>
        <v>0</v>
      </c>
      <c r="Z104" s="1" t="str">
        <f>IF(Y104, COUNTIF($Y$2:Y104, TRUE), "")</f>
        <v/>
      </c>
      <c r="AA104" s="1">
        <f t="shared" si="105"/>
        <v>8.3333333333333321</v>
      </c>
      <c r="AB104" s="1">
        <f t="shared" si="106"/>
        <v>99.999999999999957</v>
      </c>
      <c r="AC104" s="1">
        <f t="shared" si="107"/>
        <v>8.3333333333333356E-2</v>
      </c>
      <c r="AD104" s="1" t="str">
        <f t="shared" si="108"/>
        <v/>
      </c>
      <c r="AE104" s="1" t="b">
        <f t="shared" si="109"/>
        <v>0</v>
      </c>
      <c r="AF104" s="1" t="b">
        <f t="shared" si="110"/>
        <v>0</v>
      </c>
      <c r="AG104" s="1" t="str">
        <f>IF(AF104, COUNTIF($AF$2:AF104, TRUE), "")</f>
        <v/>
      </c>
    </row>
    <row r="105" spans="1:33" ht="30" hidden="1" outlineLevel="1" x14ac:dyDescent="0.25">
      <c r="A105" s="1" t="s">
        <v>252</v>
      </c>
      <c r="B105" s="1" t="s">
        <v>34</v>
      </c>
      <c r="C105" s="1" t="s">
        <v>253</v>
      </c>
      <c r="D105" s="1" t="s">
        <v>254</v>
      </c>
      <c r="E105" s="1" t="s">
        <v>272</v>
      </c>
      <c r="F105" s="4" t="s">
        <v>273</v>
      </c>
      <c r="G105" s="5">
        <v>8.3333333333333321</v>
      </c>
      <c r="H105" s="16"/>
      <c r="I105" s="3"/>
      <c r="J105" s="16" t="str">
        <f t="shared" si="97"/>
        <v/>
      </c>
      <c r="K105" s="17"/>
      <c r="L105" s="4"/>
      <c r="M105" s="1" t="str">
        <f>IFERROR(INDEX(__key!$D:$D,MATCH(O105&amp;"|"&amp;SUBSTITUTE(H105,",",";"), __key!$E:$E, 0)), "")</f>
        <v/>
      </c>
      <c r="N105" s="1" t="str">
        <f>IFERROR(INDEX(__key!$D:$D,MATCH(O105&amp;"|"&amp;SUBSTITUTE(J105,",",";"), __key!$E:$E, 0)), "")</f>
        <v/>
      </c>
      <c r="O105" s="1" t="s">
        <v>58</v>
      </c>
      <c r="P105" s="1"/>
      <c r="Q105" s="1" t="s">
        <v>257</v>
      </c>
      <c r="R105" s="1">
        <v>4219</v>
      </c>
      <c r="S105" s="1">
        <f t="shared" si="98"/>
        <v>0</v>
      </c>
      <c r="T105" s="1">
        <f t="shared" si="99"/>
        <v>0</v>
      </c>
      <c r="U105" s="1">
        <f t="shared" si="100"/>
        <v>8.3333333333333321</v>
      </c>
      <c r="V105" s="1">
        <f t="shared" si="101"/>
        <v>99.999999999999957</v>
      </c>
      <c r="W105" s="1">
        <f t="shared" si="102"/>
        <v>8.3333333333333356E-2</v>
      </c>
      <c r="X105" s="1" t="str">
        <f t="shared" si="103"/>
        <v/>
      </c>
      <c r="Y105" s="1" t="b">
        <f t="shared" si="104"/>
        <v>0</v>
      </c>
      <c r="Z105" s="1" t="str">
        <f>IF(Y105, COUNTIF($Y$2:Y105, TRUE), "")</f>
        <v/>
      </c>
      <c r="AA105" s="1">
        <f t="shared" si="105"/>
        <v>8.3333333333333321</v>
      </c>
      <c r="AB105" s="1">
        <f t="shared" si="106"/>
        <v>99.999999999999957</v>
      </c>
      <c r="AC105" s="1">
        <f t="shared" si="107"/>
        <v>8.3333333333333356E-2</v>
      </c>
      <c r="AD105" s="1" t="str">
        <f t="shared" si="108"/>
        <v/>
      </c>
      <c r="AE105" s="1" t="b">
        <f t="shared" si="109"/>
        <v>0</v>
      </c>
      <c r="AF105" s="1" t="b">
        <f t="shared" si="110"/>
        <v>0</v>
      </c>
      <c r="AG105" s="1" t="str">
        <f>IF(AF105, COUNTIF($AF$2:AF105, TRUE), "")</f>
        <v/>
      </c>
    </row>
    <row r="106" spans="1:33" ht="45" hidden="1" outlineLevel="1" x14ac:dyDescent="0.25">
      <c r="A106" s="1" t="s">
        <v>252</v>
      </c>
      <c r="B106" s="1" t="s">
        <v>34</v>
      </c>
      <c r="C106" s="1" t="s">
        <v>253</v>
      </c>
      <c r="D106" s="1" t="s">
        <v>254</v>
      </c>
      <c r="E106" s="1" t="s">
        <v>274</v>
      </c>
      <c r="F106" s="4" t="s">
        <v>275</v>
      </c>
      <c r="G106" s="5">
        <v>8.3333333333333321</v>
      </c>
      <c r="H106" s="16"/>
      <c r="I106" s="3"/>
      <c r="J106" s="16" t="str">
        <f t="shared" si="97"/>
        <v/>
      </c>
      <c r="K106" s="17"/>
      <c r="L106" s="4"/>
      <c r="M106" s="1" t="str">
        <f>IFERROR(INDEX(__key!$D:$D,MATCH(O106&amp;"|"&amp;SUBSTITUTE(H106,",",";"), __key!$E:$E, 0)), "")</f>
        <v/>
      </c>
      <c r="N106" s="1" t="str">
        <f>IFERROR(INDEX(__key!$D:$D,MATCH(O106&amp;"|"&amp;SUBSTITUTE(J106,",",";"), __key!$E:$E, 0)), "")</f>
        <v/>
      </c>
      <c r="O106" s="1" t="s">
        <v>58</v>
      </c>
      <c r="P106" s="1"/>
      <c r="Q106" s="1" t="s">
        <v>257</v>
      </c>
      <c r="R106" s="1">
        <v>42110</v>
      </c>
      <c r="S106" s="1">
        <f t="shared" si="98"/>
        <v>0</v>
      </c>
      <c r="T106" s="1">
        <f t="shared" si="99"/>
        <v>0</v>
      </c>
      <c r="U106" s="1">
        <f t="shared" si="100"/>
        <v>8.3333333333333321</v>
      </c>
      <c r="V106" s="1">
        <f t="shared" si="101"/>
        <v>99.999999999999957</v>
      </c>
      <c r="W106" s="1">
        <f t="shared" si="102"/>
        <v>8.3333333333333356E-2</v>
      </c>
      <c r="X106" s="1" t="str">
        <f t="shared" si="103"/>
        <v/>
      </c>
      <c r="Y106" s="1" t="b">
        <f t="shared" si="104"/>
        <v>0</v>
      </c>
      <c r="Z106" s="1" t="str">
        <f>IF(Y106, COUNTIF($Y$2:Y106, TRUE), "")</f>
        <v/>
      </c>
      <c r="AA106" s="1">
        <f t="shared" si="105"/>
        <v>8.3333333333333321</v>
      </c>
      <c r="AB106" s="1">
        <f t="shared" si="106"/>
        <v>99.999999999999957</v>
      </c>
      <c r="AC106" s="1">
        <f t="shared" si="107"/>
        <v>8.3333333333333356E-2</v>
      </c>
      <c r="AD106" s="1" t="str">
        <f t="shared" si="108"/>
        <v/>
      </c>
      <c r="AE106" s="1" t="b">
        <f t="shared" si="109"/>
        <v>0</v>
      </c>
      <c r="AF106" s="1" t="b">
        <f t="shared" si="110"/>
        <v>0</v>
      </c>
      <c r="AG106" s="1" t="str">
        <f>IF(AF106, COUNTIF($AF$2:AF106, TRUE), "")</f>
        <v/>
      </c>
    </row>
    <row r="107" spans="1:33" hidden="1" outlineLevel="1" x14ac:dyDescent="0.25">
      <c r="A107" s="1" t="s">
        <v>252</v>
      </c>
      <c r="B107" s="1" t="s">
        <v>34</v>
      </c>
      <c r="C107" s="1" t="s">
        <v>253</v>
      </c>
      <c r="D107" s="1" t="s">
        <v>254</v>
      </c>
      <c r="E107" s="1" t="s">
        <v>276</v>
      </c>
      <c r="F107" s="4" t="s">
        <v>277</v>
      </c>
      <c r="G107" s="5">
        <v>8.3333333333333321</v>
      </c>
      <c r="H107" s="16"/>
      <c r="I107" s="3"/>
      <c r="J107" s="16" t="str">
        <f t="shared" si="97"/>
        <v/>
      </c>
      <c r="K107" s="17"/>
      <c r="L107" s="4"/>
      <c r="M107" s="1" t="str">
        <f>IFERROR(INDEX(__key!$D:$D,MATCH(O107&amp;"|"&amp;SUBSTITUTE(H107,",",";"), __key!$E:$E, 0)), "")</f>
        <v/>
      </c>
      <c r="N107" s="1" t="str">
        <f>IFERROR(INDEX(__key!$D:$D,MATCH(O107&amp;"|"&amp;SUBSTITUTE(J107,",",";"), __key!$E:$E, 0)), "")</f>
        <v/>
      </c>
      <c r="O107" s="1" t="s">
        <v>51</v>
      </c>
      <c r="P107" s="1"/>
      <c r="Q107" s="1" t="s">
        <v>257</v>
      </c>
      <c r="R107" s="1">
        <v>42111</v>
      </c>
      <c r="S107" s="1">
        <f t="shared" si="98"/>
        <v>0</v>
      </c>
      <c r="T107" s="1">
        <f t="shared" si="99"/>
        <v>0</v>
      </c>
      <c r="U107" s="1">
        <f t="shared" si="100"/>
        <v>8.3333333333333321</v>
      </c>
      <c r="V107" s="1">
        <f t="shared" si="101"/>
        <v>99.999999999999957</v>
      </c>
      <c r="W107" s="1">
        <f t="shared" si="102"/>
        <v>8.3333333333333356E-2</v>
      </c>
      <c r="X107" s="1" t="str">
        <f t="shared" si="103"/>
        <v/>
      </c>
      <c r="Y107" s="1" t="b">
        <f t="shared" si="104"/>
        <v>0</v>
      </c>
      <c r="Z107" s="1" t="str">
        <f>IF(Y107, COUNTIF($Y$2:Y107, TRUE), "")</f>
        <v/>
      </c>
      <c r="AA107" s="1">
        <f t="shared" si="105"/>
        <v>8.3333333333333321</v>
      </c>
      <c r="AB107" s="1">
        <f t="shared" si="106"/>
        <v>99.999999999999957</v>
      </c>
      <c r="AC107" s="1">
        <f t="shared" si="107"/>
        <v>8.3333333333333356E-2</v>
      </c>
      <c r="AD107" s="1" t="str">
        <f t="shared" si="108"/>
        <v/>
      </c>
      <c r="AE107" s="1" t="b">
        <f t="shared" si="109"/>
        <v>0</v>
      </c>
      <c r="AF107" s="1" t="b">
        <f t="shared" si="110"/>
        <v>0</v>
      </c>
      <c r="AG107" s="1" t="str">
        <f>IF(AF107, COUNTIF($AF$2:AF107, TRUE), "")</f>
        <v/>
      </c>
    </row>
    <row r="108" spans="1:33" ht="45" hidden="1" outlineLevel="1" x14ac:dyDescent="0.25">
      <c r="A108" s="1" t="s">
        <v>252</v>
      </c>
      <c r="B108" s="1" t="s">
        <v>34</v>
      </c>
      <c r="C108" s="1" t="s">
        <v>253</v>
      </c>
      <c r="D108" s="1" t="s">
        <v>254</v>
      </c>
      <c r="E108" s="1" t="s">
        <v>278</v>
      </c>
      <c r="F108" s="4" t="s">
        <v>279</v>
      </c>
      <c r="G108" s="5">
        <v>8.3333333333333321</v>
      </c>
      <c r="H108" s="16"/>
      <c r="I108" s="3"/>
      <c r="J108" s="16" t="str">
        <f t="shared" si="97"/>
        <v/>
      </c>
      <c r="K108" s="17"/>
      <c r="L108" s="4"/>
      <c r="M108" s="1" t="str">
        <f>IFERROR(INDEX(__key!$D:$D,MATCH(O108&amp;"|"&amp;SUBSTITUTE(H108,",",";"), __key!$E:$E, 0)), "")</f>
        <v/>
      </c>
      <c r="N108" s="1" t="str">
        <f>IFERROR(INDEX(__key!$D:$D,MATCH(O108&amp;"|"&amp;SUBSTITUTE(J108,",",";"), __key!$E:$E, 0)), "")</f>
        <v/>
      </c>
      <c r="O108" s="1" t="s">
        <v>51</v>
      </c>
      <c r="P108" s="1"/>
      <c r="Q108" s="1" t="s">
        <v>257</v>
      </c>
      <c r="R108" s="1">
        <v>42112</v>
      </c>
      <c r="S108" s="1">
        <f t="shared" si="98"/>
        <v>0</v>
      </c>
      <c r="T108" s="1">
        <f t="shared" si="99"/>
        <v>0</v>
      </c>
      <c r="U108" s="1">
        <f t="shared" si="100"/>
        <v>8.3333333333333321</v>
      </c>
      <c r="V108" s="1">
        <f t="shared" si="101"/>
        <v>99.999999999999957</v>
      </c>
      <c r="W108" s="1">
        <f t="shared" si="102"/>
        <v>8.3333333333333356E-2</v>
      </c>
      <c r="X108" s="1" t="str">
        <f t="shared" si="103"/>
        <v/>
      </c>
      <c r="Y108" s="1" t="b">
        <f t="shared" si="104"/>
        <v>0</v>
      </c>
      <c r="Z108" s="1" t="str">
        <f>IF(Y108, COUNTIF($Y$2:Y108, TRUE), "")</f>
        <v/>
      </c>
      <c r="AA108" s="1">
        <f t="shared" si="105"/>
        <v>8.3333333333333321</v>
      </c>
      <c r="AB108" s="1">
        <f t="shared" si="106"/>
        <v>99.999999999999957</v>
      </c>
      <c r="AC108" s="1">
        <f t="shared" si="107"/>
        <v>8.3333333333333356E-2</v>
      </c>
      <c r="AD108" s="1" t="str">
        <f t="shared" si="108"/>
        <v/>
      </c>
      <c r="AE108" s="1" t="b">
        <f t="shared" si="109"/>
        <v>0</v>
      </c>
      <c r="AF108" s="1" t="b">
        <f t="shared" si="110"/>
        <v>0</v>
      </c>
      <c r="AG108" s="1" t="str">
        <f>IF(AF108, COUNTIF($AF$2:AF108, TRUE), "")</f>
        <v/>
      </c>
    </row>
    <row r="109" spans="1:33" ht="30" customHeight="1" collapsed="1" x14ac:dyDescent="0.25">
      <c r="A109" s="1"/>
      <c r="B109" s="1"/>
      <c r="C109" s="1"/>
      <c r="D109" s="1"/>
      <c r="E109" s="1"/>
      <c r="F109" s="14" t="s">
        <v>280</v>
      </c>
      <c r="G109" s="15"/>
      <c r="H109" s="14"/>
      <c r="I109" s="14"/>
      <c r="J109" s="14"/>
      <c r="K109" s="14"/>
      <c r="L109" s="14"/>
      <c r="M109" s="1"/>
      <c r="N109" s="1"/>
      <c r="O109" s="1"/>
      <c r="P109" s="1"/>
      <c r="Q109" s="1"/>
      <c r="R109" s="1"/>
      <c r="S109" s="1"/>
      <c r="T109" s="1"/>
      <c r="U109" s="1"/>
      <c r="V109" s="1"/>
      <c r="W109" s="1"/>
      <c r="X109" s="1"/>
      <c r="Y109" s="1"/>
      <c r="Z109" s="1"/>
      <c r="AA109" s="1"/>
      <c r="AB109" s="1"/>
      <c r="AC109" s="1"/>
      <c r="AD109" s="1"/>
      <c r="AE109" s="1"/>
      <c r="AF109" s="1"/>
      <c r="AG109" s="1"/>
    </row>
    <row r="110" spans="1:33" ht="30" hidden="1" outlineLevel="1" x14ac:dyDescent="0.25">
      <c r="A110" s="1" t="s">
        <v>280</v>
      </c>
      <c r="B110" s="1" t="s">
        <v>34</v>
      </c>
      <c r="C110" s="1" t="s">
        <v>281</v>
      </c>
      <c r="D110" s="1" t="s">
        <v>282</v>
      </c>
      <c r="E110" s="1" t="s">
        <v>283</v>
      </c>
      <c r="F110" s="4" t="s">
        <v>284</v>
      </c>
      <c r="G110" s="5">
        <v>5.5555555555555554</v>
      </c>
      <c r="H110" s="16"/>
      <c r="I110" s="3"/>
      <c r="J110" s="16" t="str">
        <f t="shared" ref="J110:J127" si="111">IF(H110="","",H110)</f>
        <v/>
      </c>
      <c r="K110" s="17"/>
      <c r="L110" s="4"/>
      <c r="M110" s="1" t="str">
        <f>IFERROR(INDEX(__key!$D:$D,MATCH(O110&amp;"|"&amp;SUBSTITUTE(H110,",",";"), __key!$E:$E, 0)), "")</f>
        <v/>
      </c>
      <c r="N110" s="1" t="str">
        <f>IFERROR(INDEX(__key!$D:$D,MATCH(O110&amp;"|"&amp;SUBSTITUTE(J110,",",";"), __key!$E:$E, 0)), "")</f>
        <v/>
      </c>
      <c r="O110" s="1" t="s">
        <v>51</v>
      </c>
      <c r="P110" s="1"/>
      <c r="Q110" s="1" t="s">
        <v>285</v>
      </c>
      <c r="R110" s="1">
        <v>4311</v>
      </c>
      <c r="S110" s="1">
        <f t="shared" ref="S110:S127" si="112">IFERROR(1*M110,0)</f>
        <v>0</v>
      </c>
      <c r="T110" s="1">
        <f t="shared" ref="T110:T127" si="113">IFERROR(1*N110,0)</f>
        <v>0</v>
      </c>
      <c r="U110" s="1">
        <f t="shared" ref="U110:U127" si="114">IFERROR(IF(ISNUMBER(SEARCH("Not Relevant",H110)),0,VALUE(G110)),"")</f>
        <v>5.5555555555555554</v>
      </c>
      <c r="V110" s="1">
        <f t="shared" ref="V110:V127" si="115">IFERROR(SUMIF($D:$D,D110,$U:$U),"")</f>
        <v>100.00000000000001</v>
      </c>
      <c r="W110" s="1">
        <f t="shared" ref="W110:W127" si="116">IF(OR(V110=0,V110=""),"",U110/V110)</f>
        <v>5.5555555555555546E-2</v>
      </c>
      <c r="X110" s="1" t="str">
        <f t="shared" ref="X110:X127" si="117">IF(OR(M110="",W110=""),"",VALUE(M110)*W110)</f>
        <v/>
      </c>
      <c r="Y110" s="1" t="b">
        <f t="shared" ref="Y110:Y127" si="118">IFERROR(ISNUMBER(SEARCH("Not Relevant",H110)),FALSE)</f>
        <v>0</v>
      </c>
      <c r="Z110" s="1" t="str">
        <f>IF(Y110, COUNTIF($Y$2:Y110, TRUE), "")</f>
        <v/>
      </c>
      <c r="AA110" s="1">
        <f t="shared" ref="AA110:AA127" si="119">IFERROR(IF(ISNUMBER(SEARCH("Not Relevant",J110)),0,VALUE(G110)),"")</f>
        <v>5.5555555555555554</v>
      </c>
      <c r="AB110" s="1">
        <f t="shared" ref="AB110:AB127" si="120">IFERROR(SUMIF($D:$D,D110,$AA:$AA),"")</f>
        <v>100.00000000000001</v>
      </c>
      <c r="AC110" s="1">
        <f t="shared" ref="AC110:AC127" si="121">IF(OR(AB110=0,AB110=""),"",AA110/AB110)</f>
        <v>5.5555555555555546E-2</v>
      </c>
      <c r="AD110" s="1" t="str">
        <f t="shared" ref="AD110:AD127" si="122">IF(OR(N110="",AC110=""),"",VALUE(N110)*AC110)</f>
        <v/>
      </c>
      <c r="AE110" s="1" t="b">
        <f t="shared" ref="AE110:AE127" si="123">IFERROR(ISNUMBER(SEARCH("Not Relevant",J110)),FALSE)</f>
        <v>0</v>
      </c>
      <c r="AF110" s="1" t="b">
        <f t="shared" ref="AF110:AF127" si="124">IF(OR(H110="",J110=""),FALSE,IF(H110&lt;&gt;J110,TRUE,FALSE))</f>
        <v>0</v>
      </c>
      <c r="AG110" s="1" t="str">
        <f>IF(AF110, COUNTIF($AF$2:AF110, TRUE), "")</f>
        <v/>
      </c>
    </row>
    <row r="111" spans="1:33" ht="30" hidden="1" outlineLevel="1" x14ac:dyDescent="0.25">
      <c r="A111" s="1" t="s">
        <v>280</v>
      </c>
      <c r="B111" s="1" t="s">
        <v>34</v>
      </c>
      <c r="C111" s="1" t="s">
        <v>281</v>
      </c>
      <c r="D111" s="1" t="s">
        <v>282</v>
      </c>
      <c r="E111" s="1" t="s">
        <v>286</v>
      </c>
      <c r="F111" s="4" t="s">
        <v>287</v>
      </c>
      <c r="G111" s="5">
        <v>5.5555555555555554</v>
      </c>
      <c r="H111" s="16"/>
      <c r="I111" s="3"/>
      <c r="J111" s="16" t="str">
        <f t="shared" si="111"/>
        <v/>
      </c>
      <c r="K111" s="17"/>
      <c r="L111" s="4"/>
      <c r="M111" s="1" t="str">
        <f>IFERROR(INDEX(__key!$D:$D,MATCH(O111&amp;"|"&amp;SUBSTITUTE(H111,",",";"), __key!$E:$E, 0)), "")</f>
        <v/>
      </c>
      <c r="N111" s="1" t="str">
        <f>IFERROR(INDEX(__key!$D:$D,MATCH(O111&amp;"|"&amp;SUBSTITUTE(J111,",",";"), __key!$E:$E, 0)), "")</f>
        <v/>
      </c>
      <c r="O111" s="1" t="s">
        <v>51</v>
      </c>
      <c r="P111" s="1"/>
      <c r="Q111" s="1" t="s">
        <v>285</v>
      </c>
      <c r="R111" s="1">
        <v>4312</v>
      </c>
      <c r="S111" s="1">
        <f t="shared" si="112"/>
        <v>0</v>
      </c>
      <c r="T111" s="1">
        <f t="shared" si="113"/>
        <v>0</v>
      </c>
      <c r="U111" s="1">
        <f t="shared" si="114"/>
        <v>5.5555555555555554</v>
      </c>
      <c r="V111" s="1">
        <f t="shared" si="115"/>
        <v>100.00000000000001</v>
      </c>
      <c r="W111" s="1">
        <f t="shared" si="116"/>
        <v>5.5555555555555546E-2</v>
      </c>
      <c r="X111" s="1" t="str">
        <f t="shared" si="117"/>
        <v/>
      </c>
      <c r="Y111" s="1" t="b">
        <f t="shared" si="118"/>
        <v>0</v>
      </c>
      <c r="Z111" s="1" t="str">
        <f>IF(Y111, COUNTIF($Y$2:Y111, TRUE), "")</f>
        <v/>
      </c>
      <c r="AA111" s="1">
        <f t="shared" si="119"/>
        <v>5.5555555555555554</v>
      </c>
      <c r="AB111" s="1">
        <f t="shared" si="120"/>
        <v>100.00000000000001</v>
      </c>
      <c r="AC111" s="1">
        <f t="shared" si="121"/>
        <v>5.5555555555555546E-2</v>
      </c>
      <c r="AD111" s="1" t="str">
        <f t="shared" si="122"/>
        <v/>
      </c>
      <c r="AE111" s="1" t="b">
        <f t="shared" si="123"/>
        <v>0</v>
      </c>
      <c r="AF111" s="1" t="b">
        <f t="shared" si="124"/>
        <v>0</v>
      </c>
      <c r="AG111" s="1" t="str">
        <f>IF(AF111, COUNTIF($AF$2:AF111, TRUE), "")</f>
        <v/>
      </c>
    </row>
    <row r="112" spans="1:33" ht="30" hidden="1" outlineLevel="1" x14ac:dyDescent="0.25">
      <c r="A112" s="1" t="s">
        <v>280</v>
      </c>
      <c r="B112" s="1" t="s">
        <v>34</v>
      </c>
      <c r="C112" s="1" t="s">
        <v>281</v>
      </c>
      <c r="D112" s="1" t="s">
        <v>282</v>
      </c>
      <c r="E112" s="1" t="s">
        <v>288</v>
      </c>
      <c r="F112" s="4" t="s">
        <v>289</v>
      </c>
      <c r="G112" s="5">
        <v>5.5555555555555554</v>
      </c>
      <c r="H112" s="16"/>
      <c r="I112" s="3"/>
      <c r="J112" s="16" t="str">
        <f t="shared" si="111"/>
        <v/>
      </c>
      <c r="K112" s="17"/>
      <c r="L112" s="4"/>
      <c r="M112" s="1" t="str">
        <f>IFERROR(INDEX(__key!$D:$D,MATCH(O112&amp;"|"&amp;SUBSTITUTE(H112,",",";"), __key!$E:$E, 0)), "")</f>
        <v/>
      </c>
      <c r="N112" s="1" t="str">
        <f>IFERROR(INDEX(__key!$D:$D,MATCH(O112&amp;"|"&amp;SUBSTITUTE(J112,",",";"), __key!$E:$E, 0)), "")</f>
        <v/>
      </c>
      <c r="O112" s="1" t="s">
        <v>51</v>
      </c>
      <c r="P112" s="1"/>
      <c r="Q112" s="1" t="s">
        <v>285</v>
      </c>
      <c r="R112" s="1">
        <v>4313</v>
      </c>
      <c r="S112" s="1">
        <f t="shared" si="112"/>
        <v>0</v>
      </c>
      <c r="T112" s="1">
        <f t="shared" si="113"/>
        <v>0</v>
      </c>
      <c r="U112" s="1">
        <f t="shared" si="114"/>
        <v>5.5555555555555554</v>
      </c>
      <c r="V112" s="1">
        <f t="shared" si="115"/>
        <v>100.00000000000001</v>
      </c>
      <c r="W112" s="1">
        <f t="shared" si="116"/>
        <v>5.5555555555555546E-2</v>
      </c>
      <c r="X112" s="1" t="str">
        <f t="shared" si="117"/>
        <v/>
      </c>
      <c r="Y112" s="1" t="b">
        <f t="shared" si="118"/>
        <v>0</v>
      </c>
      <c r="Z112" s="1" t="str">
        <f>IF(Y112, COUNTIF($Y$2:Y112, TRUE), "")</f>
        <v/>
      </c>
      <c r="AA112" s="1">
        <f t="shared" si="119"/>
        <v>5.5555555555555554</v>
      </c>
      <c r="AB112" s="1">
        <f t="shared" si="120"/>
        <v>100.00000000000001</v>
      </c>
      <c r="AC112" s="1">
        <f t="shared" si="121"/>
        <v>5.5555555555555546E-2</v>
      </c>
      <c r="AD112" s="1" t="str">
        <f t="shared" si="122"/>
        <v/>
      </c>
      <c r="AE112" s="1" t="b">
        <f t="shared" si="123"/>
        <v>0</v>
      </c>
      <c r="AF112" s="1" t="b">
        <f t="shared" si="124"/>
        <v>0</v>
      </c>
      <c r="AG112" s="1" t="str">
        <f>IF(AF112, COUNTIF($AF$2:AF112, TRUE), "")</f>
        <v/>
      </c>
    </row>
    <row r="113" spans="1:33" ht="30" hidden="1" outlineLevel="1" x14ac:dyDescent="0.25">
      <c r="A113" s="1" t="s">
        <v>280</v>
      </c>
      <c r="B113" s="1" t="s">
        <v>34</v>
      </c>
      <c r="C113" s="1" t="s">
        <v>281</v>
      </c>
      <c r="D113" s="1" t="s">
        <v>282</v>
      </c>
      <c r="E113" s="1" t="s">
        <v>290</v>
      </c>
      <c r="F113" s="4" t="s">
        <v>291</v>
      </c>
      <c r="G113" s="5">
        <v>5.5555555555555554</v>
      </c>
      <c r="H113" s="16"/>
      <c r="I113" s="3"/>
      <c r="J113" s="16" t="str">
        <f t="shared" si="111"/>
        <v/>
      </c>
      <c r="K113" s="17"/>
      <c r="L113" s="4"/>
      <c r="M113" s="1" t="str">
        <f>IFERROR(INDEX(__key!$D:$D,MATCH(O113&amp;"|"&amp;SUBSTITUTE(H113,",",";"), __key!$E:$E, 0)), "")</f>
        <v/>
      </c>
      <c r="N113" s="1" t="str">
        <f>IFERROR(INDEX(__key!$D:$D,MATCH(O113&amp;"|"&amp;SUBSTITUTE(J113,",",";"), __key!$E:$E, 0)), "")</f>
        <v/>
      </c>
      <c r="O113" s="1" t="s">
        <v>51</v>
      </c>
      <c r="P113" s="1"/>
      <c r="Q113" s="1" t="s">
        <v>285</v>
      </c>
      <c r="R113" s="1">
        <v>4314</v>
      </c>
      <c r="S113" s="1">
        <f t="shared" si="112"/>
        <v>0</v>
      </c>
      <c r="T113" s="1">
        <f t="shared" si="113"/>
        <v>0</v>
      </c>
      <c r="U113" s="1">
        <f t="shared" si="114"/>
        <v>5.5555555555555554</v>
      </c>
      <c r="V113" s="1">
        <f t="shared" si="115"/>
        <v>100.00000000000001</v>
      </c>
      <c r="W113" s="1">
        <f t="shared" si="116"/>
        <v>5.5555555555555546E-2</v>
      </c>
      <c r="X113" s="1" t="str">
        <f t="shared" si="117"/>
        <v/>
      </c>
      <c r="Y113" s="1" t="b">
        <f t="shared" si="118"/>
        <v>0</v>
      </c>
      <c r="Z113" s="1" t="str">
        <f>IF(Y113, COUNTIF($Y$2:Y113, TRUE), "")</f>
        <v/>
      </c>
      <c r="AA113" s="1">
        <f t="shared" si="119"/>
        <v>5.5555555555555554</v>
      </c>
      <c r="AB113" s="1">
        <f t="shared" si="120"/>
        <v>100.00000000000001</v>
      </c>
      <c r="AC113" s="1">
        <f t="shared" si="121"/>
        <v>5.5555555555555546E-2</v>
      </c>
      <c r="AD113" s="1" t="str">
        <f t="shared" si="122"/>
        <v/>
      </c>
      <c r="AE113" s="1" t="b">
        <f t="shared" si="123"/>
        <v>0</v>
      </c>
      <c r="AF113" s="1" t="b">
        <f t="shared" si="124"/>
        <v>0</v>
      </c>
      <c r="AG113" s="1" t="str">
        <f>IF(AF113, COUNTIF($AF$2:AF113, TRUE), "")</f>
        <v/>
      </c>
    </row>
    <row r="114" spans="1:33" ht="30" hidden="1" outlineLevel="1" x14ac:dyDescent="0.25">
      <c r="A114" s="1" t="s">
        <v>280</v>
      </c>
      <c r="B114" s="1" t="s">
        <v>34</v>
      </c>
      <c r="C114" s="1" t="s">
        <v>281</v>
      </c>
      <c r="D114" s="1" t="s">
        <v>282</v>
      </c>
      <c r="E114" s="1" t="s">
        <v>292</v>
      </c>
      <c r="F114" s="4" t="s">
        <v>293</v>
      </c>
      <c r="G114" s="5">
        <v>5.5555555555555554</v>
      </c>
      <c r="H114" s="16"/>
      <c r="I114" s="3"/>
      <c r="J114" s="16" t="str">
        <f t="shared" si="111"/>
        <v/>
      </c>
      <c r="K114" s="17"/>
      <c r="L114" s="4"/>
      <c r="M114" s="1" t="str">
        <f>IFERROR(INDEX(__key!$D:$D,MATCH(O114&amp;"|"&amp;SUBSTITUTE(H114,",",";"), __key!$E:$E, 0)), "")</f>
        <v/>
      </c>
      <c r="N114" s="1" t="str">
        <f>IFERROR(INDEX(__key!$D:$D,MATCH(O114&amp;"|"&amp;SUBSTITUTE(J114,",",";"), __key!$E:$E, 0)), "")</f>
        <v/>
      </c>
      <c r="O114" s="1" t="s">
        <v>51</v>
      </c>
      <c r="P114" s="1"/>
      <c r="Q114" s="1" t="s">
        <v>285</v>
      </c>
      <c r="R114" s="1">
        <v>4315</v>
      </c>
      <c r="S114" s="1">
        <f t="shared" si="112"/>
        <v>0</v>
      </c>
      <c r="T114" s="1">
        <f t="shared" si="113"/>
        <v>0</v>
      </c>
      <c r="U114" s="1">
        <f t="shared" si="114"/>
        <v>5.5555555555555554</v>
      </c>
      <c r="V114" s="1">
        <f t="shared" si="115"/>
        <v>100.00000000000001</v>
      </c>
      <c r="W114" s="1">
        <f t="shared" si="116"/>
        <v>5.5555555555555546E-2</v>
      </c>
      <c r="X114" s="1" t="str">
        <f t="shared" si="117"/>
        <v/>
      </c>
      <c r="Y114" s="1" t="b">
        <f t="shared" si="118"/>
        <v>0</v>
      </c>
      <c r="Z114" s="1" t="str">
        <f>IF(Y114, COUNTIF($Y$2:Y114, TRUE), "")</f>
        <v/>
      </c>
      <c r="AA114" s="1">
        <f t="shared" si="119"/>
        <v>5.5555555555555554</v>
      </c>
      <c r="AB114" s="1">
        <f t="shared" si="120"/>
        <v>100.00000000000001</v>
      </c>
      <c r="AC114" s="1">
        <f t="shared" si="121"/>
        <v>5.5555555555555546E-2</v>
      </c>
      <c r="AD114" s="1" t="str">
        <f t="shared" si="122"/>
        <v/>
      </c>
      <c r="AE114" s="1" t="b">
        <f t="shared" si="123"/>
        <v>0</v>
      </c>
      <c r="AF114" s="1" t="b">
        <f t="shared" si="124"/>
        <v>0</v>
      </c>
      <c r="AG114" s="1" t="str">
        <f>IF(AF114, COUNTIF($AF$2:AF114, TRUE), "")</f>
        <v/>
      </c>
    </row>
    <row r="115" spans="1:33" ht="30" hidden="1" outlineLevel="1" x14ac:dyDescent="0.25">
      <c r="A115" s="1" t="s">
        <v>280</v>
      </c>
      <c r="B115" s="1" t="s">
        <v>34</v>
      </c>
      <c r="C115" s="1" t="s">
        <v>281</v>
      </c>
      <c r="D115" s="1" t="s">
        <v>282</v>
      </c>
      <c r="E115" s="1" t="s">
        <v>294</v>
      </c>
      <c r="F115" s="4" t="s">
        <v>295</v>
      </c>
      <c r="G115" s="5">
        <v>5.5555555555555554</v>
      </c>
      <c r="H115" s="16"/>
      <c r="I115" s="3"/>
      <c r="J115" s="16" t="str">
        <f t="shared" si="111"/>
        <v/>
      </c>
      <c r="K115" s="17"/>
      <c r="L115" s="4"/>
      <c r="M115" s="1" t="str">
        <f>IFERROR(INDEX(__key!$D:$D,MATCH(O115&amp;"|"&amp;SUBSTITUTE(H115,",",";"), __key!$E:$E, 0)), "")</f>
        <v/>
      </c>
      <c r="N115" s="1" t="str">
        <f>IFERROR(INDEX(__key!$D:$D,MATCH(O115&amp;"|"&amp;SUBSTITUTE(J115,",",";"), __key!$E:$E, 0)), "")</f>
        <v/>
      </c>
      <c r="O115" s="1" t="s">
        <v>51</v>
      </c>
      <c r="P115" s="1"/>
      <c r="Q115" s="1" t="s">
        <v>285</v>
      </c>
      <c r="R115" s="1">
        <v>4316</v>
      </c>
      <c r="S115" s="1">
        <f t="shared" si="112"/>
        <v>0</v>
      </c>
      <c r="T115" s="1">
        <f t="shared" si="113"/>
        <v>0</v>
      </c>
      <c r="U115" s="1">
        <f t="shared" si="114"/>
        <v>5.5555555555555554</v>
      </c>
      <c r="V115" s="1">
        <f t="shared" si="115"/>
        <v>100.00000000000001</v>
      </c>
      <c r="W115" s="1">
        <f t="shared" si="116"/>
        <v>5.5555555555555546E-2</v>
      </c>
      <c r="X115" s="1" t="str">
        <f t="shared" si="117"/>
        <v/>
      </c>
      <c r="Y115" s="1" t="b">
        <f t="shared" si="118"/>
        <v>0</v>
      </c>
      <c r="Z115" s="1" t="str">
        <f>IF(Y115, COUNTIF($Y$2:Y115, TRUE), "")</f>
        <v/>
      </c>
      <c r="AA115" s="1">
        <f t="shared" si="119"/>
        <v>5.5555555555555554</v>
      </c>
      <c r="AB115" s="1">
        <f t="shared" si="120"/>
        <v>100.00000000000001</v>
      </c>
      <c r="AC115" s="1">
        <f t="shared" si="121"/>
        <v>5.5555555555555546E-2</v>
      </c>
      <c r="AD115" s="1" t="str">
        <f t="shared" si="122"/>
        <v/>
      </c>
      <c r="AE115" s="1" t="b">
        <f t="shared" si="123"/>
        <v>0</v>
      </c>
      <c r="AF115" s="1" t="b">
        <f t="shared" si="124"/>
        <v>0</v>
      </c>
      <c r="AG115" s="1" t="str">
        <f>IF(AF115, COUNTIF($AF$2:AF115, TRUE), "")</f>
        <v/>
      </c>
    </row>
    <row r="116" spans="1:33" ht="45" hidden="1" outlineLevel="1" x14ac:dyDescent="0.25">
      <c r="A116" s="1" t="s">
        <v>280</v>
      </c>
      <c r="B116" s="1" t="s">
        <v>34</v>
      </c>
      <c r="C116" s="1" t="s">
        <v>281</v>
      </c>
      <c r="D116" s="1" t="s">
        <v>282</v>
      </c>
      <c r="E116" s="1" t="s">
        <v>296</v>
      </c>
      <c r="F116" s="4" t="s">
        <v>297</v>
      </c>
      <c r="G116" s="5">
        <v>5.5555555555555554</v>
      </c>
      <c r="H116" s="16"/>
      <c r="I116" s="3"/>
      <c r="J116" s="16" t="str">
        <f t="shared" si="111"/>
        <v/>
      </c>
      <c r="K116" s="17"/>
      <c r="L116" s="4"/>
      <c r="M116" s="1" t="str">
        <f>IFERROR(INDEX(__key!$D:$D,MATCH(O116&amp;"|"&amp;SUBSTITUTE(H116,",",";"), __key!$E:$E, 0)), "")</f>
        <v/>
      </c>
      <c r="N116" s="1" t="str">
        <f>IFERROR(INDEX(__key!$D:$D,MATCH(O116&amp;"|"&amp;SUBSTITUTE(J116,",",";"), __key!$E:$E, 0)), "")</f>
        <v/>
      </c>
      <c r="O116" s="1" t="s">
        <v>51</v>
      </c>
      <c r="P116" s="1"/>
      <c r="Q116" s="1" t="s">
        <v>285</v>
      </c>
      <c r="R116" s="1">
        <v>4317</v>
      </c>
      <c r="S116" s="1">
        <f t="shared" si="112"/>
        <v>0</v>
      </c>
      <c r="T116" s="1">
        <f t="shared" si="113"/>
        <v>0</v>
      </c>
      <c r="U116" s="1">
        <f t="shared" si="114"/>
        <v>5.5555555555555554</v>
      </c>
      <c r="V116" s="1">
        <f t="shared" si="115"/>
        <v>100.00000000000001</v>
      </c>
      <c r="W116" s="1">
        <f t="shared" si="116"/>
        <v>5.5555555555555546E-2</v>
      </c>
      <c r="X116" s="1" t="str">
        <f t="shared" si="117"/>
        <v/>
      </c>
      <c r="Y116" s="1" t="b">
        <f t="shared" si="118"/>
        <v>0</v>
      </c>
      <c r="Z116" s="1" t="str">
        <f>IF(Y116, COUNTIF($Y$2:Y116, TRUE), "")</f>
        <v/>
      </c>
      <c r="AA116" s="1">
        <f t="shared" si="119"/>
        <v>5.5555555555555554</v>
      </c>
      <c r="AB116" s="1">
        <f t="shared" si="120"/>
        <v>100.00000000000001</v>
      </c>
      <c r="AC116" s="1">
        <f t="shared" si="121"/>
        <v>5.5555555555555546E-2</v>
      </c>
      <c r="AD116" s="1" t="str">
        <f t="shared" si="122"/>
        <v/>
      </c>
      <c r="AE116" s="1" t="b">
        <f t="shared" si="123"/>
        <v>0</v>
      </c>
      <c r="AF116" s="1" t="b">
        <f t="shared" si="124"/>
        <v>0</v>
      </c>
      <c r="AG116" s="1" t="str">
        <f>IF(AF116, COUNTIF($AF$2:AF116, TRUE), "")</f>
        <v/>
      </c>
    </row>
    <row r="117" spans="1:33" ht="30" hidden="1" outlineLevel="1" x14ac:dyDescent="0.25">
      <c r="A117" s="1" t="s">
        <v>280</v>
      </c>
      <c r="B117" s="1" t="s">
        <v>34</v>
      </c>
      <c r="C117" s="1" t="s">
        <v>281</v>
      </c>
      <c r="D117" s="1" t="s">
        <v>282</v>
      </c>
      <c r="E117" s="1" t="s">
        <v>298</v>
      </c>
      <c r="F117" s="4" t="s">
        <v>299</v>
      </c>
      <c r="G117" s="5">
        <v>5.5555555555555554</v>
      </c>
      <c r="H117" s="16"/>
      <c r="I117" s="3"/>
      <c r="J117" s="16" t="str">
        <f t="shared" si="111"/>
        <v/>
      </c>
      <c r="K117" s="17"/>
      <c r="L117" s="4"/>
      <c r="M117" s="1" t="str">
        <f>IFERROR(INDEX(__key!$D:$D,MATCH(O117&amp;"|"&amp;SUBSTITUTE(H117,",",";"), __key!$E:$E, 0)), "")</f>
        <v/>
      </c>
      <c r="N117" s="1" t="str">
        <f>IFERROR(INDEX(__key!$D:$D,MATCH(O117&amp;"|"&amp;SUBSTITUTE(J117,",",";"), __key!$E:$E, 0)), "")</f>
        <v/>
      </c>
      <c r="O117" s="1" t="s">
        <v>58</v>
      </c>
      <c r="P117" s="1"/>
      <c r="Q117" s="1" t="s">
        <v>285</v>
      </c>
      <c r="R117" s="1">
        <v>4318</v>
      </c>
      <c r="S117" s="1">
        <f t="shared" si="112"/>
        <v>0</v>
      </c>
      <c r="T117" s="1">
        <f t="shared" si="113"/>
        <v>0</v>
      </c>
      <c r="U117" s="1">
        <f t="shared" si="114"/>
        <v>5.5555555555555554</v>
      </c>
      <c r="V117" s="1">
        <f t="shared" si="115"/>
        <v>100.00000000000001</v>
      </c>
      <c r="W117" s="1">
        <f t="shared" si="116"/>
        <v>5.5555555555555546E-2</v>
      </c>
      <c r="X117" s="1" t="str">
        <f t="shared" si="117"/>
        <v/>
      </c>
      <c r="Y117" s="1" t="b">
        <f t="shared" si="118"/>
        <v>0</v>
      </c>
      <c r="Z117" s="1" t="str">
        <f>IF(Y117, COUNTIF($Y$2:Y117, TRUE), "")</f>
        <v/>
      </c>
      <c r="AA117" s="1">
        <f t="shared" si="119"/>
        <v>5.5555555555555554</v>
      </c>
      <c r="AB117" s="1">
        <f t="shared" si="120"/>
        <v>100.00000000000001</v>
      </c>
      <c r="AC117" s="1">
        <f t="shared" si="121"/>
        <v>5.5555555555555546E-2</v>
      </c>
      <c r="AD117" s="1" t="str">
        <f t="shared" si="122"/>
        <v/>
      </c>
      <c r="AE117" s="1" t="b">
        <f t="shared" si="123"/>
        <v>0</v>
      </c>
      <c r="AF117" s="1" t="b">
        <f t="shared" si="124"/>
        <v>0</v>
      </c>
      <c r="AG117" s="1" t="str">
        <f>IF(AF117, COUNTIF($AF$2:AF117, TRUE), "")</f>
        <v/>
      </c>
    </row>
    <row r="118" spans="1:33" ht="45" hidden="1" outlineLevel="1" x14ac:dyDescent="0.25">
      <c r="A118" s="1" t="s">
        <v>280</v>
      </c>
      <c r="B118" s="1" t="s">
        <v>34</v>
      </c>
      <c r="C118" s="1" t="s">
        <v>281</v>
      </c>
      <c r="D118" s="1" t="s">
        <v>282</v>
      </c>
      <c r="E118" s="1" t="s">
        <v>300</v>
      </c>
      <c r="F118" s="4" t="s">
        <v>301</v>
      </c>
      <c r="G118" s="5">
        <v>5.5555555555555554</v>
      </c>
      <c r="H118" s="16"/>
      <c r="I118" s="3"/>
      <c r="J118" s="16" t="str">
        <f t="shared" si="111"/>
        <v/>
      </c>
      <c r="K118" s="17"/>
      <c r="L118" s="4"/>
      <c r="M118" s="1" t="str">
        <f>IFERROR(INDEX(__key!$D:$D,MATCH(O118&amp;"|"&amp;SUBSTITUTE(H118,",",";"), __key!$E:$E, 0)), "")</f>
        <v/>
      </c>
      <c r="N118" s="1" t="str">
        <f>IFERROR(INDEX(__key!$D:$D,MATCH(O118&amp;"|"&amp;SUBSTITUTE(J118,",",";"), __key!$E:$E, 0)), "")</f>
        <v/>
      </c>
      <c r="O118" s="1" t="s">
        <v>58</v>
      </c>
      <c r="P118" s="1"/>
      <c r="Q118" s="1" t="s">
        <v>285</v>
      </c>
      <c r="R118" s="1">
        <v>4319</v>
      </c>
      <c r="S118" s="1">
        <f t="shared" si="112"/>
        <v>0</v>
      </c>
      <c r="T118" s="1">
        <f t="shared" si="113"/>
        <v>0</v>
      </c>
      <c r="U118" s="1">
        <f t="shared" si="114"/>
        <v>5.5555555555555554</v>
      </c>
      <c r="V118" s="1">
        <f t="shared" si="115"/>
        <v>100.00000000000001</v>
      </c>
      <c r="W118" s="1">
        <f t="shared" si="116"/>
        <v>5.5555555555555546E-2</v>
      </c>
      <c r="X118" s="1" t="str">
        <f t="shared" si="117"/>
        <v/>
      </c>
      <c r="Y118" s="1" t="b">
        <f t="shared" si="118"/>
        <v>0</v>
      </c>
      <c r="Z118" s="1" t="str">
        <f>IF(Y118, COUNTIF($Y$2:Y118, TRUE), "")</f>
        <v/>
      </c>
      <c r="AA118" s="1">
        <f t="shared" si="119"/>
        <v>5.5555555555555554</v>
      </c>
      <c r="AB118" s="1">
        <f t="shared" si="120"/>
        <v>100.00000000000001</v>
      </c>
      <c r="AC118" s="1">
        <f t="shared" si="121"/>
        <v>5.5555555555555546E-2</v>
      </c>
      <c r="AD118" s="1" t="str">
        <f t="shared" si="122"/>
        <v/>
      </c>
      <c r="AE118" s="1" t="b">
        <f t="shared" si="123"/>
        <v>0</v>
      </c>
      <c r="AF118" s="1" t="b">
        <f t="shared" si="124"/>
        <v>0</v>
      </c>
      <c r="AG118" s="1" t="str">
        <f>IF(AF118, COUNTIF($AF$2:AF118, TRUE), "")</f>
        <v/>
      </c>
    </row>
    <row r="119" spans="1:33" ht="30" hidden="1" outlineLevel="1" x14ac:dyDescent="0.25">
      <c r="A119" s="1" t="s">
        <v>280</v>
      </c>
      <c r="B119" s="1" t="s">
        <v>34</v>
      </c>
      <c r="C119" s="1" t="s">
        <v>281</v>
      </c>
      <c r="D119" s="1" t="s">
        <v>282</v>
      </c>
      <c r="E119" s="1" t="s">
        <v>302</v>
      </c>
      <c r="F119" s="4" t="s">
        <v>303</v>
      </c>
      <c r="G119" s="5">
        <v>5.5555555555555554</v>
      </c>
      <c r="H119" s="16"/>
      <c r="I119" s="3"/>
      <c r="J119" s="16" t="str">
        <f t="shared" si="111"/>
        <v/>
      </c>
      <c r="K119" s="17"/>
      <c r="L119" s="4"/>
      <c r="M119" s="1" t="str">
        <f>IFERROR(INDEX(__key!$D:$D,MATCH(O119&amp;"|"&amp;SUBSTITUTE(H119,",",";"), __key!$E:$E, 0)), "")</f>
        <v/>
      </c>
      <c r="N119" s="1" t="str">
        <f>IFERROR(INDEX(__key!$D:$D,MATCH(O119&amp;"|"&amp;SUBSTITUTE(J119,",",";"), __key!$E:$E, 0)), "")</f>
        <v/>
      </c>
      <c r="O119" s="1" t="s">
        <v>51</v>
      </c>
      <c r="P119" s="1"/>
      <c r="Q119" s="1" t="s">
        <v>285</v>
      </c>
      <c r="R119" s="1">
        <v>43110</v>
      </c>
      <c r="S119" s="1">
        <f t="shared" si="112"/>
        <v>0</v>
      </c>
      <c r="T119" s="1">
        <f t="shared" si="113"/>
        <v>0</v>
      </c>
      <c r="U119" s="1">
        <f t="shared" si="114"/>
        <v>5.5555555555555554</v>
      </c>
      <c r="V119" s="1">
        <f t="shared" si="115"/>
        <v>100.00000000000001</v>
      </c>
      <c r="W119" s="1">
        <f t="shared" si="116"/>
        <v>5.5555555555555546E-2</v>
      </c>
      <c r="X119" s="1" t="str">
        <f t="shared" si="117"/>
        <v/>
      </c>
      <c r="Y119" s="1" t="b">
        <f t="shared" si="118"/>
        <v>0</v>
      </c>
      <c r="Z119" s="1" t="str">
        <f>IF(Y119, COUNTIF($Y$2:Y119, TRUE), "")</f>
        <v/>
      </c>
      <c r="AA119" s="1">
        <f t="shared" si="119"/>
        <v>5.5555555555555554</v>
      </c>
      <c r="AB119" s="1">
        <f t="shared" si="120"/>
        <v>100.00000000000001</v>
      </c>
      <c r="AC119" s="1">
        <f t="shared" si="121"/>
        <v>5.5555555555555546E-2</v>
      </c>
      <c r="AD119" s="1" t="str">
        <f t="shared" si="122"/>
        <v/>
      </c>
      <c r="AE119" s="1" t="b">
        <f t="shared" si="123"/>
        <v>0</v>
      </c>
      <c r="AF119" s="1" t="b">
        <f t="shared" si="124"/>
        <v>0</v>
      </c>
      <c r="AG119" s="1" t="str">
        <f>IF(AF119, COUNTIF($AF$2:AF119, TRUE), "")</f>
        <v/>
      </c>
    </row>
    <row r="120" spans="1:33" ht="30" hidden="1" outlineLevel="1" x14ac:dyDescent="0.25">
      <c r="A120" s="1" t="s">
        <v>280</v>
      </c>
      <c r="B120" s="1" t="s">
        <v>34</v>
      </c>
      <c r="C120" s="1" t="s">
        <v>281</v>
      </c>
      <c r="D120" s="1" t="s">
        <v>282</v>
      </c>
      <c r="E120" s="1" t="s">
        <v>304</v>
      </c>
      <c r="F120" s="4" t="s">
        <v>305</v>
      </c>
      <c r="G120" s="5">
        <v>5.5555555555555554</v>
      </c>
      <c r="H120" s="16"/>
      <c r="I120" s="3"/>
      <c r="J120" s="16" t="str">
        <f t="shared" si="111"/>
        <v/>
      </c>
      <c r="K120" s="17"/>
      <c r="L120" s="4"/>
      <c r="M120" s="1" t="str">
        <f>IFERROR(INDEX(__key!$D:$D,MATCH(O120&amp;"|"&amp;SUBSTITUTE(H120,",",";"), __key!$E:$E, 0)), "")</f>
        <v/>
      </c>
      <c r="N120" s="1" t="str">
        <f>IFERROR(INDEX(__key!$D:$D,MATCH(O120&amp;"|"&amp;SUBSTITUTE(J120,",",";"), __key!$E:$E, 0)), "")</f>
        <v/>
      </c>
      <c r="O120" s="1" t="s">
        <v>51</v>
      </c>
      <c r="P120" s="1"/>
      <c r="Q120" s="1" t="s">
        <v>285</v>
      </c>
      <c r="R120" s="1">
        <v>43111</v>
      </c>
      <c r="S120" s="1">
        <f t="shared" si="112"/>
        <v>0</v>
      </c>
      <c r="T120" s="1">
        <f t="shared" si="113"/>
        <v>0</v>
      </c>
      <c r="U120" s="1">
        <f t="shared" si="114"/>
        <v>5.5555555555555554</v>
      </c>
      <c r="V120" s="1">
        <f t="shared" si="115"/>
        <v>100.00000000000001</v>
      </c>
      <c r="W120" s="1">
        <f t="shared" si="116"/>
        <v>5.5555555555555546E-2</v>
      </c>
      <c r="X120" s="1" t="str">
        <f t="shared" si="117"/>
        <v/>
      </c>
      <c r="Y120" s="1" t="b">
        <f t="shared" si="118"/>
        <v>0</v>
      </c>
      <c r="Z120" s="1" t="str">
        <f>IF(Y120, COUNTIF($Y$2:Y120, TRUE), "")</f>
        <v/>
      </c>
      <c r="AA120" s="1">
        <f t="shared" si="119"/>
        <v>5.5555555555555554</v>
      </c>
      <c r="AB120" s="1">
        <f t="shared" si="120"/>
        <v>100.00000000000001</v>
      </c>
      <c r="AC120" s="1">
        <f t="shared" si="121"/>
        <v>5.5555555555555546E-2</v>
      </c>
      <c r="AD120" s="1" t="str">
        <f t="shared" si="122"/>
        <v/>
      </c>
      <c r="AE120" s="1" t="b">
        <f t="shared" si="123"/>
        <v>0</v>
      </c>
      <c r="AF120" s="1" t="b">
        <f t="shared" si="124"/>
        <v>0</v>
      </c>
      <c r="AG120" s="1" t="str">
        <f>IF(AF120, COUNTIF($AF$2:AF120, TRUE), "")</f>
        <v/>
      </c>
    </row>
    <row r="121" spans="1:33" ht="45" hidden="1" outlineLevel="1" x14ac:dyDescent="0.25">
      <c r="A121" s="1" t="s">
        <v>280</v>
      </c>
      <c r="B121" s="1" t="s">
        <v>34</v>
      </c>
      <c r="C121" s="1" t="s">
        <v>281</v>
      </c>
      <c r="D121" s="1" t="s">
        <v>282</v>
      </c>
      <c r="E121" s="1" t="s">
        <v>306</v>
      </c>
      <c r="F121" s="4" t="s">
        <v>307</v>
      </c>
      <c r="G121" s="5">
        <v>5.5555555555555554</v>
      </c>
      <c r="H121" s="16"/>
      <c r="I121" s="3"/>
      <c r="J121" s="16" t="str">
        <f t="shared" si="111"/>
        <v/>
      </c>
      <c r="K121" s="17"/>
      <c r="L121" s="4"/>
      <c r="M121" s="1" t="str">
        <f>IFERROR(INDEX(__key!$D:$D,MATCH(O121&amp;"|"&amp;SUBSTITUTE(H121,",",";"), __key!$E:$E, 0)), "")</f>
        <v/>
      </c>
      <c r="N121" s="1" t="str">
        <f>IFERROR(INDEX(__key!$D:$D,MATCH(O121&amp;"|"&amp;SUBSTITUTE(J121,",",";"), __key!$E:$E, 0)), "")</f>
        <v/>
      </c>
      <c r="O121" s="1" t="s">
        <v>51</v>
      </c>
      <c r="P121" s="1"/>
      <c r="Q121" s="1" t="s">
        <v>285</v>
      </c>
      <c r="R121" s="1">
        <v>43112</v>
      </c>
      <c r="S121" s="1">
        <f t="shared" si="112"/>
        <v>0</v>
      </c>
      <c r="T121" s="1">
        <f t="shared" si="113"/>
        <v>0</v>
      </c>
      <c r="U121" s="1">
        <f t="shared" si="114"/>
        <v>5.5555555555555554</v>
      </c>
      <c r="V121" s="1">
        <f t="shared" si="115"/>
        <v>100.00000000000001</v>
      </c>
      <c r="W121" s="1">
        <f t="shared" si="116"/>
        <v>5.5555555555555546E-2</v>
      </c>
      <c r="X121" s="1" t="str">
        <f t="shared" si="117"/>
        <v/>
      </c>
      <c r="Y121" s="1" t="b">
        <f t="shared" si="118"/>
        <v>0</v>
      </c>
      <c r="Z121" s="1" t="str">
        <f>IF(Y121, COUNTIF($Y$2:Y121, TRUE), "")</f>
        <v/>
      </c>
      <c r="AA121" s="1">
        <f t="shared" si="119"/>
        <v>5.5555555555555554</v>
      </c>
      <c r="AB121" s="1">
        <f t="shared" si="120"/>
        <v>100.00000000000001</v>
      </c>
      <c r="AC121" s="1">
        <f t="shared" si="121"/>
        <v>5.5555555555555546E-2</v>
      </c>
      <c r="AD121" s="1" t="str">
        <f t="shared" si="122"/>
        <v/>
      </c>
      <c r="AE121" s="1" t="b">
        <f t="shared" si="123"/>
        <v>0</v>
      </c>
      <c r="AF121" s="1" t="b">
        <f t="shared" si="124"/>
        <v>0</v>
      </c>
      <c r="AG121" s="1" t="str">
        <f>IF(AF121, COUNTIF($AF$2:AF121, TRUE), "")</f>
        <v/>
      </c>
    </row>
    <row r="122" spans="1:33" ht="45" hidden="1" outlineLevel="1" x14ac:dyDescent="0.25">
      <c r="A122" s="1" t="s">
        <v>280</v>
      </c>
      <c r="B122" s="1" t="s">
        <v>34</v>
      </c>
      <c r="C122" s="1" t="s">
        <v>281</v>
      </c>
      <c r="D122" s="1" t="s">
        <v>282</v>
      </c>
      <c r="E122" s="1" t="s">
        <v>308</v>
      </c>
      <c r="F122" s="4" t="s">
        <v>309</v>
      </c>
      <c r="G122" s="5">
        <v>5.5555555555555554</v>
      </c>
      <c r="H122" s="16"/>
      <c r="I122" s="3"/>
      <c r="J122" s="16" t="str">
        <f t="shared" si="111"/>
        <v/>
      </c>
      <c r="K122" s="17"/>
      <c r="L122" s="4"/>
      <c r="M122" s="1" t="str">
        <f>IFERROR(INDEX(__key!$D:$D,MATCH(O122&amp;"|"&amp;SUBSTITUTE(H122,",",";"), __key!$E:$E, 0)), "")</f>
        <v/>
      </c>
      <c r="N122" s="1" t="str">
        <f>IFERROR(INDEX(__key!$D:$D,MATCH(O122&amp;"|"&amp;SUBSTITUTE(J122,",",";"), __key!$E:$E, 0)), "")</f>
        <v/>
      </c>
      <c r="O122" s="1" t="s">
        <v>58</v>
      </c>
      <c r="P122" s="1"/>
      <c r="Q122" s="1" t="s">
        <v>285</v>
      </c>
      <c r="R122" s="1">
        <v>43113</v>
      </c>
      <c r="S122" s="1">
        <f t="shared" si="112"/>
        <v>0</v>
      </c>
      <c r="T122" s="1">
        <f t="shared" si="113"/>
        <v>0</v>
      </c>
      <c r="U122" s="1">
        <f t="shared" si="114"/>
        <v>5.5555555555555554</v>
      </c>
      <c r="V122" s="1">
        <f t="shared" si="115"/>
        <v>100.00000000000001</v>
      </c>
      <c r="W122" s="1">
        <f t="shared" si="116"/>
        <v>5.5555555555555546E-2</v>
      </c>
      <c r="X122" s="1" t="str">
        <f t="shared" si="117"/>
        <v/>
      </c>
      <c r="Y122" s="1" t="b">
        <f t="shared" si="118"/>
        <v>0</v>
      </c>
      <c r="Z122" s="1" t="str">
        <f>IF(Y122, COUNTIF($Y$2:Y122, TRUE), "")</f>
        <v/>
      </c>
      <c r="AA122" s="1">
        <f t="shared" si="119"/>
        <v>5.5555555555555554</v>
      </c>
      <c r="AB122" s="1">
        <f t="shared" si="120"/>
        <v>100.00000000000001</v>
      </c>
      <c r="AC122" s="1">
        <f t="shared" si="121"/>
        <v>5.5555555555555546E-2</v>
      </c>
      <c r="AD122" s="1" t="str">
        <f t="shared" si="122"/>
        <v/>
      </c>
      <c r="AE122" s="1" t="b">
        <f t="shared" si="123"/>
        <v>0</v>
      </c>
      <c r="AF122" s="1" t="b">
        <f t="shared" si="124"/>
        <v>0</v>
      </c>
      <c r="AG122" s="1" t="str">
        <f>IF(AF122, COUNTIF($AF$2:AF122, TRUE), "")</f>
        <v/>
      </c>
    </row>
    <row r="123" spans="1:33" ht="30" hidden="1" outlineLevel="1" x14ac:dyDescent="0.25">
      <c r="A123" s="1" t="s">
        <v>280</v>
      </c>
      <c r="B123" s="1" t="s">
        <v>34</v>
      </c>
      <c r="C123" s="1" t="s">
        <v>281</v>
      </c>
      <c r="D123" s="1" t="s">
        <v>282</v>
      </c>
      <c r="E123" s="1" t="s">
        <v>310</v>
      </c>
      <c r="F123" s="4" t="s">
        <v>311</v>
      </c>
      <c r="G123" s="5">
        <v>5.5555555555555554</v>
      </c>
      <c r="H123" s="16"/>
      <c r="I123" s="3"/>
      <c r="J123" s="16" t="str">
        <f t="shared" si="111"/>
        <v/>
      </c>
      <c r="K123" s="17"/>
      <c r="L123" s="4"/>
      <c r="M123" s="1" t="str">
        <f>IFERROR(INDEX(__key!$D:$D,MATCH(O123&amp;"|"&amp;SUBSTITUTE(H123,",",";"), __key!$E:$E, 0)), "")</f>
        <v/>
      </c>
      <c r="N123" s="1" t="str">
        <f>IFERROR(INDEX(__key!$D:$D,MATCH(O123&amp;"|"&amp;SUBSTITUTE(J123,",",";"), __key!$E:$E, 0)), "")</f>
        <v/>
      </c>
      <c r="O123" s="1" t="s">
        <v>58</v>
      </c>
      <c r="P123" s="1"/>
      <c r="Q123" s="1" t="s">
        <v>285</v>
      </c>
      <c r="R123" s="1">
        <v>43114</v>
      </c>
      <c r="S123" s="1">
        <f t="shared" si="112"/>
        <v>0</v>
      </c>
      <c r="T123" s="1">
        <f t="shared" si="113"/>
        <v>0</v>
      </c>
      <c r="U123" s="1">
        <f t="shared" si="114"/>
        <v>5.5555555555555554</v>
      </c>
      <c r="V123" s="1">
        <f t="shared" si="115"/>
        <v>100.00000000000001</v>
      </c>
      <c r="W123" s="1">
        <f t="shared" si="116"/>
        <v>5.5555555555555546E-2</v>
      </c>
      <c r="X123" s="1" t="str">
        <f t="shared" si="117"/>
        <v/>
      </c>
      <c r="Y123" s="1" t="b">
        <f t="shared" si="118"/>
        <v>0</v>
      </c>
      <c r="Z123" s="1" t="str">
        <f>IF(Y123, COUNTIF($Y$2:Y123, TRUE), "")</f>
        <v/>
      </c>
      <c r="AA123" s="1">
        <f t="shared" si="119"/>
        <v>5.5555555555555554</v>
      </c>
      <c r="AB123" s="1">
        <f t="shared" si="120"/>
        <v>100.00000000000001</v>
      </c>
      <c r="AC123" s="1">
        <f t="shared" si="121"/>
        <v>5.5555555555555546E-2</v>
      </c>
      <c r="AD123" s="1" t="str">
        <f t="shared" si="122"/>
        <v/>
      </c>
      <c r="AE123" s="1" t="b">
        <f t="shared" si="123"/>
        <v>0</v>
      </c>
      <c r="AF123" s="1" t="b">
        <f t="shared" si="124"/>
        <v>0</v>
      </c>
      <c r="AG123" s="1" t="str">
        <f>IF(AF123, COUNTIF($AF$2:AF123, TRUE), "")</f>
        <v/>
      </c>
    </row>
    <row r="124" spans="1:33" ht="60" hidden="1" outlineLevel="1" x14ac:dyDescent="0.25">
      <c r="A124" s="1" t="s">
        <v>280</v>
      </c>
      <c r="B124" s="1" t="s">
        <v>34</v>
      </c>
      <c r="C124" s="1" t="s">
        <v>281</v>
      </c>
      <c r="D124" s="1" t="s">
        <v>282</v>
      </c>
      <c r="E124" s="1" t="s">
        <v>312</v>
      </c>
      <c r="F124" s="4" t="s">
        <v>313</v>
      </c>
      <c r="G124" s="5">
        <v>5.5555555555555554</v>
      </c>
      <c r="H124" s="16"/>
      <c r="I124" s="3"/>
      <c r="J124" s="16" t="str">
        <f t="shared" si="111"/>
        <v/>
      </c>
      <c r="K124" s="17"/>
      <c r="L124" s="4"/>
      <c r="M124" s="1" t="str">
        <f>IFERROR(INDEX(__key!$D:$D,MATCH(O124&amp;"|"&amp;SUBSTITUTE(H124,",",";"), __key!$E:$E, 0)), "")</f>
        <v/>
      </c>
      <c r="N124" s="1" t="str">
        <f>IFERROR(INDEX(__key!$D:$D,MATCH(O124&amp;"|"&amp;SUBSTITUTE(J124,",",";"), __key!$E:$E, 0)), "")</f>
        <v/>
      </c>
      <c r="O124" s="1" t="s">
        <v>58</v>
      </c>
      <c r="P124" s="1"/>
      <c r="Q124" s="1" t="s">
        <v>285</v>
      </c>
      <c r="R124" s="1">
        <v>43115</v>
      </c>
      <c r="S124" s="1">
        <f t="shared" si="112"/>
        <v>0</v>
      </c>
      <c r="T124" s="1">
        <f t="shared" si="113"/>
        <v>0</v>
      </c>
      <c r="U124" s="1">
        <f t="shared" si="114"/>
        <v>5.5555555555555554</v>
      </c>
      <c r="V124" s="1">
        <f t="shared" si="115"/>
        <v>100.00000000000001</v>
      </c>
      <c r="W124" s="1">
        <f t="shared" si="116"/>
        <v>5.5555555555555546E-2</v>
      </c>
      <c r="X124" s="1" t="str">
        <f t="shared" si="117"/>
        <v/>
      </c>
      <c r="Y124" s="1" t="b">
        <f t="shared" si="118"/>
        <v>0</v>
      </c>
      <c r="Z124" s="1" t="str">
        <f>IF(Y124, COUNTIF($Y$2:Y124, TRUE), "")</f>
        <v/>
      </c>
      <c r="AA124" s="1">
        <f t="shared" si="119"/>
        <v>5.5555555555555554</v>
      </c>
      <c r="AB124" s="1">
        <f t="shared" si="120"/>
        <v>100.00000000000001</v>
      </c>
      <c r="AC124" s="1">
        <f t="shared" si="121"/>
        <v>5.5555555555555546E-2</v>
      </c>
      <c r="AD124" s="1" t="str">
        <f t="shared" si="122"/>
        <v/>
      </c>
      <c r="AE124" s="1" t="b">
        <f t="shared" si="123"/>
        <v>0</v>
      </c>
      <c r="AF124" s="1" t="b">
        <f t="shared" si="124"/>
        <v>0</v>
      </c>
      <c r="AG124" s="1" t="str">
        <f>IF(AF124, COUNTIF($AF$2:AF124, TRUE), "")</f>
        <v/>
      </c>
    </row>
    <row r="125" spans="1:33" ht="30" hidden="1" outlineLevel="1" x14ac:dyDescent="0.25">
      <c r="A125" s="1" t="s">
        <v>280</v>
      </c>
      <c r="B125" s="1" t="s">
        <v>34</v>
      </c>
      <c r="C125" s="1" t="s">
        <v>281</v>
      </c>
      <c r="D125" s="1" t="s">
        <v>282</v>
      </c>
      <c r="E125" s="1" t="s">
        <v>314</v>
      </c>
      <c r="F125" s="4" t="s">
        <v>315</v>
      </c>
      <c r="G125" s="5">
        <v>5.5555555555555554</v>
      </c>
      <c r="H125" s="16"/>
      <c r="I125" s="3"/>
      <c r="J125" s="16" t="str">
        <f t="shared" si="111"/>
        <v/>
      </c>
      <c r="K125" s="17"/>
      <c r="L125" s="4"/>
      <c r="M125" s="1" t="str">
        <f>IFERROR(INDEX(__key!$D:$D,MATCH(O125&amp;"|"&amp;SUBSTITUTE(H125,",",";"), __key!$E:$E, 0)), "")</f>
        <v/>
      </c>
      <c r="N125" s="1" t="str">
        <f>IFERROR(INDEX(__key!$D:$D,MATCH(O125&amp;"|"&amp;SUBSTITUTE(J125,",",";"), __key!$E:$E, 0)), "")</f>
        <v/>
      </c>
      <c r="O125" s="1" t="s">
        <v>51</v>
      </c>
      <c r="P125" s="1"/>
      <c r="Q125" s="1" t="s">
        <v>285</v>
      </c>
      <c r="R125" s="1">
        <v>43116</v>
      </c>
      <c r="S125" s="1">
        <f t="shared" si="112"/>
        <v>0</v>
      </c>
      <c r="T125" s="1">
        <f t="shared" si="113"/>
        <v>0</v>
      </c>
      <c r="U125" s="1">
        <f t="shared" si="114"/>
        <v>5.5555555555555554</v>
      </c>
      <c r="V125" s="1">
        <f t="shared" si="115"/>
        <v>100.00000000000001</v>
      </c>
      <c r="W125" s="1">
        <f t="shared" si="116"/>
        <v>5.5555555555555546E-2</v>
      </c>
      <c r="X125" s="1" t="str">
        <f t="shared" si="117"/>
        <v/>
      </c>
      <c r="Y125" s="1" t="b">
        <f t="shared" si="118"/>
        <v>0</v>
      </c>
      <c r="Z125" s="1" t="str">
        <f>IF(Y125, COUNTIF($Y$2:Y125, TRUE), "")</f>
        <v/>
      </c>
      <c r="AA125" s="1">
        <f t="shared" si="119"/>
        <v>5.5555555555555554</v>
      </c>
      <c r="AB125" s="1">
        <f t="shared" si="120"/>
        <v>100.00000000000001</v>
      </c>
      <c r="AC125" s="1">
        <f t="shared" si="121"/>
        <v>5.5555555555555546E-2</v>
      </c>
      <c r="AD125" s="1" t="str">
        <f t="shared" si="122"/>
        <v/>
      </c>
      <c r="AE125" s="1" t="b">
        <f t="shared" si="123"/>
        <v>0</v>
      </c>
      <c r="AF125" s="1" t="b">
        <f t="shared" si="124"/>
        <v>0</v>
      </c>
      <c r="AG125" s="1" t="str">
        <f>IF(AF125, COUNTIF($AF$2:AF125, TRUE), "")</f>
        <v/>
      </c>
    </row>
    <row r="126" spans="1:33" ht="30" hidden="1" outlineLevel="1" x14ac:dyDescent="0.25">
      <c r="A126" s="1" t="s">
        <v>280</v>
      </c>
      <c r="B126" s="1" t="s">
        <v>34</v>
      </c>
      <c r="C126" s="1" t="s">
        <v>281</v>
      </c>
      <c r="D126" s="1" t="s">
        <v>282</v>
      </c>
      <c r="E126" s="1" t="s">
        <v>316</v>
      </c>
      <c r="F126" s="4" t="s">
        <v>317</v>
      </c>
      <c r="G126" s="5">
        <v>5.5555555555555554</v>
      </c>
      <c r="H126" s="16"/>
      <c r="I126" s="3"/>
      <c r="J126" s="16" t="str">
        <f t="shared" si="111"/>
        <v/>
      </c>
      <c r="K126" s="17"/>
      <c r="L126" s="4"/>
      <c r="M126" s="1" t="str">
        <f>IFERROR(INDEX(__key!$D:$D,MATCH(O126&amp;"|"&amp;SUBSTITUTE(H126,",",";"), __key!$E:$E, 0)), "")</f>
        <v/>
      </c>
      <c r="N126" s="1" t="str">
        <f>IFERROR(INDEX(__key!$D:$D,MATCH(O126&amp;"|"&amp;SUBSTITUTE(J126,",",";"), __key!$E:$E, 0)), "")</f>
        <v/>
      </c>
      <c r="O126" s="1" t="s">
        <v>51</v>
      </c>
      <c r="P126" s="1"/>
      <c r="Q126" s="1" t="s">
        <v>285</v>
      </c>
      <c r="R126" s="1">
        <v>43117</v>
      </c>
      <c r="S126" s="1">
        <f t="shared" si="112"/>
        <v>0</v>
      </c>
      <c r="T126" s="1">
        <f t="shared" si="113"/>
        <v>0</v>
      </c>
      <c r="U126" s="1">
        <f t="shared" si="114"/>
        <v>5.5555555555555554</v>
      </c>
      <c r="V126" s="1">
        <f t="shared" si="115"/>
        <v>100.00000000000001</v>
      </c>
      <c r="W126" s="1">
        <f t="shared" si="116"/>
        <v>5.5555555555555546E-2</v>
      </c>
      <c r="X126" s="1" t="str">
        <f t="shared" si="117"/>
        <v/>
      </c>
      <c r="Y126" s="1" t="b">
        <f t="shared" si="118"/>
        <v>0</v>
      </c>
      <c r="Z126" s="1" t="str">
        <f>IF(Y126, COUNTIF($Y$2:Y126, TRUE), "")</f>
        <v/>
      </c>
      <c r="AA126" s="1">
        <f t="shared" si="119"/>
        <v>5.5555555555555554</v>
      </c>
      <c r="AB126" s="1">
        <f t="shared" si="120"/>
        <v>100.00000000000001</v>
      </c>
      <c r="AC126" s="1">
        <f t="shared" si="121"/>
        <v>5.5555555555555546E-2</v>
      </c>
      <c r="AD126" s="1" t="str">
        <f t="shared" si="122"/>
        <v/>
      </c>
      <c r="AE126" s="1" t="b">
        <f t="shared" si="123"/>
        <v>0</v>
      </c>
      <c r="AF126" s="1" t="b">
        <f t="shared" si="124"/>
        <v>0</v>
      </c>
      <c r="AG126" s="1" t="str">
        <f>IF(AF126, COUNTIF($AF$2:AF126, TRUE), "")</f>
        <v/>
      </c>
    </row>
    <row r="127" spans="1:33" ht="30" hidden="1" outlineLevel="1" x14ac:dyDescent="0.25">
      <c r="A127" s="1" t="s">
        <v>280</v>
      </c>
      <c r="B127" s="1" t="s">
        <v>34</v>
      </c>
      <c r="C127" s="1" t="s">
        <v>281</v>
      </c>
      <c r="D127" s="1" t="s">
        <v>282</v>
      </c>
      <c r="E127" s="1" t="s">
        <v>318</v>
      </c>
      <c r="F127" s="4" t="s">
        <v>319</v>
      </c>
      <c r="G127" s="5">
        <v>5.5555555555555554</v>
      </c>
      <c r="H127" s="16"/>
      <c r="I127" s="3"/>
      <c r="J127" s="16" t="str">
        <f t="shared" si="111"/>
        <v/>
      </c>
      <c r="K127" s="17"/>
      <c r="L127" s="4"/>
      <c r="M127" s="1" t="str">
        <f>IFERROR(INDEX(__key!$D:$D,MATCH(O127&amp;"|"&amp;SUBSTITUTE(H127,",",";"), __key!$E:$E, 0)), "")</f>
        <v/>
      </c>
      <c r="N127" s="1" t="str">
        <f>IFERROR(INDEX(__key!$D:$D,MATCH(O127&amp;"|"&amp;SUBSTITUTE(J127,",",";"), __key!$E:$E, 0)), "")</f>
        <v/>
      </c>
      <c r="O127" s="1" t="s">
        <v>51</v>
      </c>
      <c r="P127" s="1"/>
      <c r="Q127" s="1" t="s">
        <v>285</v>
      </c>
      <c r="R127" s="1">
        <v>43118</v>
      </c>
      <c r="S127" s="1">
        <f t="shared" si="112"/>
        <v>0</v>
      </c>
      <c r="T127" s="1">
        <f t="shared" si="113"/>
        <v>0</v>
      </c>
      <c r="U127" s="1">
        <f t="shared" si="114"/>
        <v>5.5555555555555554</v>
      </c>
      <c r="V127" s="1">
        <f t="shared" si="115"/>
        <v>100.00000000000001</v>
      </c>
      <c r="W127" s="1">
        <f t="shared" si="116"/>
        <v>5.5555555555555546E-2</v>
      </c>
      <c r="X127" s="1" t="str">
        <f t="shared" si="117"/>
        <v/>
      </c>
      <c r="Y127" s="1" t="b">
        <f t="shared" si="118"/>
        <v>0</v>
      </c>
      <c r="Z127" s="1" t="str">
        <f>IF(Y127, COUNTIF($Y$2:Y127, TRUE), "")</f>
        <v/>
      </c>
      <c r="AA127" s="1">
        <f t="shared" si="119"/>
        <v>5.5555555555555554</v>
      </c>
      <c r="AB127" s="1">
        <f t="shared" si="120"/>
        <v>100.00000000000001</v>
      </c>
      <c r="AC127" s="1">
        <f t="shared" si="121"/>
        <v>5.5555555555555546E-2</v>
      </c>
      <c r="AD127" s="1" t="str">
        <f t="shared" si="122"/>
        <v/>
      </c>
      <c r="AE127" s="1" t="b">
        <f t="shared" si="123"/>
        <v>0</v>
      </c>
      <c r="AF127" s="1" t="b">
        <f t="shared" si="124"/>
        <v>0</v>
      </c>
      <c r="AG127" s="1" t="str">
        <f>IF(AF127, COUNTIF($AF$2:AF127, TRUE), "")</f>
        <v/>
      </c>
    </row>
    <row r="128" spans="1:33" ht="30" customHeight="1" collapsed="1" x14ac:dyDescent="0.25">
      <c r="A128" s="1"/>
      <c r="B128" s="1"/>
      <c r="C128" s="1"/>
      <c r="D128" s="1"/>
      <c r="E128" s="1"/>
      <c r="F128" s="14" t="s">
        <v>320</v>
      </c>
      <c r="G128" s="15"/>
      <c r="H128" s="14"/>
      <c r="I128" s="14"/>
      <c r="J128" s="14"/>
      <c r="K128" s="14"/>
      <c r="L128" s="14"/>
      <c r="M128" s="1"/>
      <c r="N128" s="1"/>
      <c r="O128" s="1"/>
      <c r="P128" s="1"/>
      <c r="Q128" s="1"/>
      <c r="R128" s="1"/>
      <c r="S128" s="1"/>
      <c r="T128" s="1"/>
      <c r="U128" s="1"/>
      <c r="V128" s="1"/>
      <c r="W128" s="1"/>
      <c r="X128" s="1"/>
      <c r="Y128" s="1"/>
      <c r="Z128" s="1"/>
      <c r="AA128" s="1"/>
      <c r="AB128" s="1"/>
      <c r="AC128" s="1"/>
      <c r="AD128" s="1"/>
      <c r="AE128" s="1"/>
      <c r="AF128" s="1"/>
      <c r="AG128" s="1"/>
    </row>
    <row r="129" spans="1:33" ht="30" hidden="1" outlineLevel="1" x14ac:dyDescent="0.25">
      <c r="A129" s="1" t="s">
        <v>320</v>
      </c>
      <c r="B129" s="1" t="s">
        <v>34</v>
      </c>
      <c r="C129" s="1" t="s">
        <v>321</v>
      </c>
      <c r="D129" s="1" t="s">
        <v>322</v>
      </c>
      <c r="E129" s="1" t="s">
        <v>323</v>
      </c>
      <c r="F129" s="4" t="s">
        <v>324</v>
      </c>
      <c r="G129" s="5">
        <v>7.7777777777777777</v>
      </c>
      <c r="H129" s="16"/>
      <c r="I129" s="3"/>
      <c r="J129" s="16" t="str">
        <f t="shared" ref="J129:J138" si="125">IF(H129="","",H129)</f>
        <v/>
      </c>
      <c r="K129" s="17"/>
      <c r="L129" s="4"/>
      <c r="M129" s="1" t="str">
        <f>IFERROR(INDEX(__key!$D:$D,MATCH(O129&amp;"|"&amp;SUBSTITUTE(H129,",",";"), __key!$E:$E, 0)), "")</f>
        <v/>
      </c>
      <c r="N129" s="1" t="str">
        <f>IFERROR(INDEX(__key!$D:$D,MATCH(O129&amp;"|"&amp;SUBSTITUTE(J129,",",";"), __key!$E:$E, 0)), "")</f>
        <v/>
      </c>
      <c r="O129" s="1" t="s">
        <v>51</v>
      </c>
      <c r="P129" s="1"/>
      <c r="Q129" s="1" t="s">
        <v>325</v>
      </c>
      <c r="R129" s="1">
        <v>4411</v>
      </c>
      <c r="S129" s="1">
        <f t="shared" ref="S129:S138" si="126">IFERROR(1*M129,0)</f>
        <v>0</v>
      </c>
      <c r="T129" s="1">
        <f t="shared" ref="T129:T138" si="127">IFERROR(1*N129,0)</f>
        <v>0</v>
      </c>
      <c r="U129" s="1">
        <f t="shared" ref="U129:U138" si="128">IFERROR(IF(ISNUMBER(SEARCH("Not Relevant",H129)),0,VALUE(G129)),"")</f>
        <v>7.7777777777777777</v>
      </c>
      <c r="V129" s="1">
        <f t="shared" ref="V129:V138" si="129">IFERROR(SUMIF($D:$D,D129,$U:$U),"")</f>
        <v>99.999999999999972</v>
      </c>
      <c r="W129" s="1">
        <f t="shared" ref="W129:W138" si="130">IF(OR(V129=0,V129=""),"",U129/V129)</f>
        <v>7.7777777777777793E-2</v>
      </c>
      <c r="X129" s="1" t="str">
        <f t="shared" ref="X129:X138" si="131">IF(OR(M129="",W129=""),"",VALUE(M129)*W129)</f>
        <v/>
      </c>
      <c r="Y129" s="1" t="b">
        <f t="shared" ref="Y129:Y138" si="132">IFERROR(ISNUMBER(SEARCH("Not Relevant",H129)),FALSE)</f>
        <v>0</v>
      </c>
      <c r="Z129" s="1" t="str">
        <f>IF(Y129, COUNTIF($Y$2:Y129, TRUE), "")</f>
        <v/>
      </c>
      <c r="AA129" s="1">
        <f t="shared" ref="AA129:AA138" si="133">IFERROR(IF(ISNUMBER(SEARCH("Not Relevant",J129)),0,VALUE(G129)),"")</f>
        <v>7.7777777777777777</v>
      </c>
      <c r="AB129" s="1">
        <f t="shared" ref="AB129:AB138" si="134">IFERROR(SUMIF($D:$D,D129,$AA:$AA),"")</f>
        <v>99.999999999999972</v>
      </c>
      <c r="AC129" s="1">
        <f t="shared" ref="AC129:AC138" si="135">IF(OR(AB129=0,AB129=""),"",AA129/AB129)</f>
        <v>7.7777777777777793E-2</v>
      </c>
      <c r="AD129" s="1" t="str">
        <f t="shared" ref="AD129:AD138" si="136">IF(OR(N129="",AC129=""),"",VALUE(N129)*AC129)</f>
        <v/>
      </c>
      <c r="AE129" s="1" t="b">
        <f t="shared" ref="AE129:AE138" si="137">IFERROR(ISNUMBER(SEARCH("Not Relevant",J129)),FALSE)</f>
        <v>0</v>
      </c>
      <c r="AF129" s="1" t="b">
        <f t="shared" ref="AF129:AF138" si="138">IF(OR(H129="",J129=""),FALSE,IF(H129&lt;&gt;J129,TRUE,FALSE))</f>
        <v>0</v>
      </c>
      <c r="AG129" s="1" t="str">
        <f>IF(AF129, COUNTIF($AF$2:AF129, TRUE), "")</f>
        <v/>
      </c>
    </row>
    <row r="130" spans="1:33" ht="30" hidden="1" outlineLevel="1" x14ac:dyDescent="0.25">
      <c r="A130" s="1" t="s">
        <v>320</v>
      </c>
      <c r="B130" s="1" t="s">
        <v>34</v>
      </c>
      <c r="C130" s="1" t="s">
        <v>321</v>
      </c>
      <c r="D130" s="1" t="s">
        <v>322</v>
      </c>
      <c r="E130" s="1" t="s">
        <v>326</v>
      </c>
      <c r="F130" s="4" t="s">
        <v>327</v>
      </c>
      <c r="G130" s="5">
        <v>7.7777777777777777</v>
      </c>
      <c r="H130" s="16"/>
      <c r="I130" s="3"/>
      <c r="J130" s="16" t="str">
        <f t="shared" si="125"/>
        <v/>
      </c>
      <c r="K130" s="17"/>
      <c r="L130" s="4"/>
      <c r="M130" s="1" t="str">
        <f>IFERROR(INDEX(__key!$D:$D,MATCH(O130&amp;"|"&amp;SUBSTITUTE(H130,",",";"), __key!$E:$E, 0)), "")</f>
        <v/>
      </c>
      <c r="N130" s="1" t="str">
        <f>IFERROR(INDEX(__key!$D:$D,MATCH(O130&amp;"|"&amp;SUBSTITUTE(J130,",",";"), __key!$E:$E, 0)), "")</f>
        <v/>
      </c>
      <c r="O130" s="1" t="s">
        <v>51</v>
      </c>
      <c r="P130" s="1"/>
      <c r="Q130" s="1" t="s">
        <v>325</v>
      </c>
      <c r="R130" s="1">
        <v>4412</v>
      </c>
      <c r="S130" s="1">
        <f t="shared" si="126"/>
        <v>0</v>
      </c>
      <c r="T130" s="1">
        <f t="shared" si="127"/>
        <v>0</v>
      </c>
      <c r="U130" s="1">
        <f t="shared" si="128"/>
        <v>7.7777777777777777</v>
      </c>
      <c r="V130" s="1">
        <f t="shared" si="129"/>
        <v>99.999999999999972</v>
      </c>
      <c r="W130" s="1">
        <f t="shared" si="130"/>
        <v>7.7777777777777793E-2</v>
      </c>
      <c r="X130" s="1" t="str">
        <f t="shared" si="131"/>
        <v/>
      </c>
      <c r="Y130" s="1" t="b">
        <f t="shared" si="132"/>
        <v>0</v>
      </c>
      <c r="Z130" s="1" t="str">
        <f>IF(Y130, COUNTIF($Y$2:Y130, TRUE), "")</f>
        <v/>
      </c>
      <c r="AA130" s="1">
        <f t="shared" si="133"/>
        <v>7.7777777777777777</v>
      </c>
      <c r="AB130" s="1">
        <f t="shared" si="134"/>
        <v>99.999999999999972</v>
      </c>
      <c r="AC130" s="1">
        <f t="shared" si="135"/>
        <v>7.7777777777777793E-2</v>
      </c>
      <c r="AD130" s="1" t="str">
        <f t="shared" si="136"/>
        <v/>
      </c>
      <c r="AE130" s="1" t="b">
        <f t="shared" si="137"/>
        <v>0</v>
      </c>
      <c r="AF130" s="1" t="b">
        <f t="shared" si="138"/>
        <v>0</v>
      </c>
      <c r="AG130" s="1" t="str">
        <f>IF(AF130, COUNTIF($AF$2:AF130, TRUE), "")</f>
        <v/>
      </c>
    </row>
    <row r="131" spans="1:33" ht="30" hidden="1" outlineLevel="1" x14ac:dyDescent="0.25">
      <c r="A131" s="1" t="s">
        <v>320</v>
      </c>
      <c r="B131" s="1" t="s">
        <v>34</v>
      </c>
      <c r="C131" s="1" t="s">
        <v>321</v>
      </c>
      <c r="D131" s="1" t="s">
        <v>322</v>
      </c>
      <c r="E131" s="1" t="s">
        <v>328</v>
      </c>
      <c r="F131" s="4" t="s">
        <v>329</v>
      </c>
      <c r="G131" s="5">
        <v>7.7777777777777777</v>
      </c>
      <c r="H131" s="16"/>
      <c r="I131" s="3"/>
      <c r="J131" s="16" t="str">
        <f t="shared" si="125"/>
        <v/>
      </c>
      <c r="K131" s="17"/>
      <c r="L131" s="4"/>
      <c r="M131" s="1" t="str">
        <f>IFERROR(INDEX(__key!$D:$D,MATCH(O131&amp;"|"&amp;SUBSTITUTE(H131,",",";"), __key!$E:$E, 0)), "")</f>
        <v/>
      </c>
      <c r="N131" s="1" t="str">
        <f>IFERROR(INDEX(__key!$D:$D,MATCH(O131&amp;"|"&amp;SUBSTITUTE(J131,",",";"), __key!$E:$E, 0)), "")</f>
        <v/>
      </c>
      <c r="O131" s="1" t="s">
        <v>51</v>
      </c>
      <c r="P131" s="1"/>
      <c r="Q131" s="1" t="s">
        <v>325</v>
      </c>
      <c r="R131" s="1">
        <v>4413</v>
      </c>
      <c r="S131" s="1">
        <f t="shared" si="126"/>
        <v>0</v>
      </c>
      <c r="T131" s="1">
        <f t="shared" si="127"/>
        <v>0</v>
      </c>
      <c r="U131" s="1">
        <f t="shared" si="128"/>
        <v>7.7777777777777777</v>
      </c>
      <c r="V131" s="1">
        <f t="shared" si="129"/>
        <v>99.999999999999972</v>
      </c>
      <c r="W131" s="1">
        <f t="shared" si="130"/>
        <v>7.7777777777777793E-2</v>
      </c>
      <c r="X131" s="1" t="str">
        <f t="shared" si="131"/>
        <v/>
      </c>
      <c r="Y131" s="1" t="b">
        <f t="shared" si="132"/>
        <v>0</v>
      </c>
      <c r="Z131" s="1" t="str">
        <f>IF(Y131, COUNTIF($Y$2:Y131, TRUE), "")</f>
        <v/>
      </c>
      <c r="AA131" s="1">
        <f t="shared" si="133"/>
        <v>7.7777777777777777</v>
      </c>
      <c r="AB131" s="1">
        <f t="shared" si="134"/>
        <v>99.999999999999972</v>
      </c>
      <c r="AC131" s="1">
        <f t="shared" si="135"/>
        <v>7.7777777777777793E-2</v>
      </c>
      <c r="AD131" s="1" t="str">
        <f t="shared" si="136"/>
        <v/>
      </c>
      <c r="AE131" s="1" t="b">
        <f t="shared" si="137"/>
        <v>0</v>
      </c>
      <c r="AF131" s="1" t="b">
        <f t="shared" si="138"/>
        <v>0</v>
      </c>
      <c r="AG131" s="1" t="str">
        <f>IF(AF131, COUNTIF($AF$2:AF131, TRUE), "")</f>
        <v/>
      </c>
    </row>
    <row r="132" spans="1:33" ht="30" hidden="1" outlineLevel="1" x14ac:dyDescent="0.25">
      <c r="A132" s="1" t="s">
        <v>320</v>
      </c>
      <c r="B132" s="1" t="s">
        <v>34</v>
      </c>
      <c r="C132" s="1" t="s">
        <v>321</v>
      </c>
      <c r="D132" s="1" t="s">
        <v>322</v>
      </c>
      <c r="E132" s="1" t="s">
        <v>330</v>
      </c>
      <c r="F132" s="4" t="s">
        <v>331</v>
      </c>
      <c r="G132" s="5">
        <v>7.7777777777777777</v>
      </c>
      <c r="H132" s="16"/>
      <c r="I132" s="3"/>
      <c r="J132" s="16" t="str">
        <f t="shared" si="125"/>
        <v/>
      </c>
      <c r="K132" s="17"/>
      <c r="L132" s="4"/>
      <c r="M132" s="1" t="str">
        <f>IFERROR(INDEX(__key!$D:$D,MATCH(O132&amp;"|"&amp;SUBSTITUTE(H132,",",";"), __key!$E:$E, 0)), "")</f>
        <v/>
      </c>
      <c r="N132" s="1" t="str">
        <f>IFERROR(INDEX(__key!$D:$D,MATCH(O132&amp;"|"&amp;SUBSTITUTE(J132,",",";"), __key!$E:$E, 0)), "")</f>
        <v/>
      </c>
      <c r="O132" s="1" t="s">
        <v>51</v>
      </c>
      <c r="P132" s="1"/>
      <c r="Q132" s="1" t="s">
        <v>325</v>
      </c>
      <c r="R132" s="1">
        <v>4414</v>
      </c>
      <c r="S132" s="1">
        <f t="shared" si="126"/>
        <v>0</v>
      </c>
      <c r="T132" s="1">
        <f t="shared" si="127"/>
        <v>0</v>
      </c>
      <c r="U132" s="1">
        <f t="shared" si="128"/>
        <v>7.7777777777777777</v>
      </c>
      <c r="V132" s="1">
        <f t="shared" si="129"/>
        <v>99.999999999999972</v>
      </c>
      <c r="W132" s="1">
        <f t="shared" si="130"/>
        <v>7.7777777777777793E-2</v>
      </c>
      <c r="X132" s="1" t="str">
        <f t="shared" si="131"/>
        <v/>
      </c>
      <c r="Y132" s="1" t="b">
        <f t="shared" si="132"/>
        <v>0</v>
      </c>
      <c r="Z132" s="1" t="str">
        <f>IF(Y132, COUNTIF($Y$2:Y132, TRUE), "")</f>
        <v/>
      </c>
      <c r="AA132" s="1">
        <f t="shared" si="133"/>
        <v>7.7777777777777777</v>
      </c>
      <c r="AB132" s="1">
        <f t="shared" si="134"/>
        <v>99.999999999999972</v>
      </c>
      <c r="AC132" s="1">
        <f t="shared" si="135"/>
        <v>7.7777777777777793E-2</v>
      </c>
      <c r="AD132" s="1" t="str">
        <f t="shared" si="136"/>
        <v/>
      </c>
      <c r="AE132" s="1" t="b">
        <f t="shared" si="137"/>
        <v>0</v>
      </c>
      <c r="AF132" s="1" t="b">
        <f t="shared" si="138"/>
        <v>0</v>
      </c>
      <c r="AG132" s="1" t="str">
        <f>IF(AF132, COUNTIF($AF$2:AF132, TRUE), "")</f>
        <v/>
      </c>
    </row>
    <row r="133" spans="1:33" ht="30" hidden="1" outlineLevel="1" x14ac:dyDescent="0.25">
      <c r="A133" s="1" t="s">
        <v>320</v>
      </c>
      <c r="B133" s="1" t="s">
        <v>34</v>
      </c>
      <c r="C133" s="1" t="s">
        <v>321</v>
      </c>
      <c r="D133" s="1" t="s">
        <v>322</v>
      </c>
      <c r="E133" s="1" t="s">
        <v>332</v>
      </c>
      <c r="F133" s="4" t="s">
        <v>333</v>
      </c>
      <c r="G133" s="5">
        <v>7.7777777777777777</v>
      </c>
      <c r="H133" s="16"/>
      <c r="I133" s="3"/>
      <c r="J133" s="16" t="str">
        <f t="shared" si="125"/>
        <v/>
      </c>
      <c r="K133" s="17"/>
      <c r="L133" s="4"/>
      <c r="M133" s="1" t="str">
        <f>IFERROR(INDEX(__key!$D:$D,MATCH(O133&amp;"|"&amp;SUBSTITUTE(H133,",",";"), __key!$E:$E, 0)), "")</f>
        <v/>
      </c>
      <c r="N133" s="1" t="str">
        <f>IFERROR(INDEX(__key!$D:$D,MATCH(O133&amp;"|"&amp;SUBSTITUTE(J133,",",";"), __key!$E:$E, 0)), "")</f>
        <v/>
      </c>
      <c r="O133" s="1" t="s">
        <v>51</v>
      </c>
      <c r="P133" s="1"/>
      <c r="Q133" s="1" t="s">
        <v>325</v>
      </c>
      <c r="R133" s="1">
        <v>4415</v>
      </c>
      <c r="S133" s="1">
        <f t="shared" si="126"/>
        <v>0</v>
      </c>
      <c r="T133" s="1">
        <f t="shared" si="127"/>
        <v>0</v>
      </c>
      <c r="U133" s="1">
        <f t="shared" si="128"/>
        <v>7.7777777777777777</v>
      </c>
      <c r="V133" s="1">
        <f t="shared" si="129"/>
        <v>99.999999999999972</v>
      </c>
      <c r="W133" s="1">
        <f t="shared" si="130"/>
        <v>7.7777777777777793E-2</v>
      </c>
      <c r="X133" s="1" t="str">
        <f t="shared" si="131"/>
        <v/>
      </c>
      <c r="Y133" s="1" t="b">
        <f t="shared" si="132"/>
        <v>0</v>
      </c>
      <c r="Z133" s="1" t="str">
        <f>IF(Y133, COUNTIF($Y$2:Y133, TRUE), "")</f>
        <v/>
      </c>
      <c r="AA133" s="1">
        <f t="shared" si="133"/>
        <v>7.7777777777777777</v>
      </c>
      <c r="AB133" s="1">
        <f t="shared" si="134"/>
        <v>99.999999999999972</v>
      </c>
      <c r="AC133" s="1">
        <f t="shared" si="135"/>
        <v>7.7777777777777793E-2</v>
      </c>
      <c r="AD133" s="1" t="str">
        <f t="shared" si="136"/>
        <v/>
      </c>
      <c r="AE133" s="1" t="b">
        <f t="shared" si="137"/>
        <v>0</v>
      </c>
      <c r="AF133" s="1" t="b">
        <f t="shared" si="138"/>
        <v>0</v>
      </c>
      <c r="AG133" s="1" t="str">
        <f>IF(AF133, COUNTIF($AF$2:AF133, TRUE), "")</f>
        <v/>
      </c>
    </row>
    <row r="134" spans="1:33" ht="30" hidden="1" outlineLevel="1" x14ac:dyDescent="0.25">
      <c r="A134" s="1" t="s">
        <v>320</v>
      </c>
      <c r="B134" s="1" t="s">
        <v>34</v>
      </c>
      <c r="C134" s="1" t="s">
        <v>321</v>
      </c>
      <c r="D134" s="1" t="s">
        <v>322</v>
      </c>
      <c r="E134" s="1" t="s">
        <v>334</v>
      </c>
      <c r="F134" s="4" t="s">
        <v>335</v>
      </c>
      <c r="G134" s="5">
        <v>30</v>
      </c>
      <c r="H134" s="16"/>
      <c r="I134" s="3"/>
      <c r="J134" s="16" t="str">
        <f t="shared" si="125"/>
        <v/>
      </c>
      <c r="K134" s="17"/>
      <c r="L134" s="4"/>
      <c r="M134" s="1" t="str">
        <f>IFERROR(INDEX(__key!$D:$D,MATCH(O134&amp;"|"&amp;SUBSTITUTE(H134,",",";"), __key!$E:$E, 0)), "")</f>
        <v/>
      </c>
      <c r="N134" s="1" t="str">
        <f>IFERROR(INDEX(__key!$D:$D,MATCH(O134&amp;"|"&amp;SUBSTITUTE(J134,",",";"), __key!$E:$E, 0)), "")</f>
        <v/>
      </c>
      <c r="O134" s="1" t="s">
        <v>51</v>
      </c>
      <c r="P134" s="1"/>
      <c r="Q134" s="1" t="s">
        <v>325</v>
      </c>
      <c r="R134" s="1">
        <v>4416</v>
      </c>
      <c r="S134" s="1">
        <f t="shared" si="126"/>
        <v>0</v>
      </c>
      <c r="T134" s="1">
        <f t="shared" si="127"/>
        <v>0</v>
      </c>
      <c r="U134" s="1">
        <f t="shared" si="128"/>
        <v>30</v>
      </c>
      <c r="V134" s="1">
        <f t="shared" si="129"/>
        <v>99.999999999999972</v>
      </c>
      <c r="W134" s="1">
        <f t="shared" si="130"/>
        <v>0.3000000000000001</v>
      </c>
      <c r="X134" s="1" t="str">
        <f t="shared" si="131"/>
        <v/>
      </c>
      <c r="Y134" s="1" t="b">
        <f t="shared" si="132"/>
        <v>0</v>
      </c>
      <c r="Z134" s="1" t="str">
        <f>IF(Y134, COUNTIF($Y$2:Y134, TRUE), "")</f>
        <v/>
      </c>
      <c r="AA134" s="1">
        <f t="shared" si="133"/>
        <v>30</v>
      </c>
      <c r="AB134" s="1">
        <f t="shared" si="134"/>
        <v>99.999999999999972</v>
      </c>
      <c r="AC134" s="1">
        <f t="shared" si="135"/>
        <v>0.3000000000000001</v>
      </c>
      <c r="AD134" s="1" t="str">
        <f t="shared" si="136"/>
        <v/>
      </c>
      <c r="AE134" s="1" t="b">
        <f t="shared" si="137"/>
        <v>0</v>
      </c>
      <c r="AF134" s="1" t="b">
        <f t="shared" si="138"/>
        <v>0</v>
      </c>
      <c r="AG134" s="1" t="str">
        <f>IF(AF134, COUNTIF($AF$2:AF134, TRUE), "")</f>
        <v/>
      </c>
    </row>
    <row r="135" spans="1:33" ht="30" hidden="1" outlineLevel="1" x14ac:dyDescent="0.25">
      <c r="A135" s="1" t="s">
        <v>320</v>
      </c>
      <c r="B135" s="1" t="s">
        <v>34</v>
      </c>
      <c r="C135" s="1" t="s">
        <v>321</v>
      </c>
      <c r="D135" s="1" t="s">
        <v>322</v>
      </c>
      <c r="E135" s="1" t="s">
        <v>336</v>
      </c>
      <c r="F135" s="4" t="s">
        <v>337</v>
      </c>
      <c r="G135" s="5">
        <v>7.7777777777777777</v>
      </c>
      <c r="H135" s="16"/>
      <c r="I135" s="3"/>
      <c r="J135" s="16" t="str">
        <f t="shared" si="125"/>
        <v/>
      </c>
      <c r="K135" s="17"/>
      <c r="L135" s="4"/>
      <c r="M135" s="1" t="str">
        <f>IFERROR(INDEX(__key!$D:$D,MATCH(O135&amp;"|"&amp;SUBSTITUTE(H135,",",";"), __key!$E:$E, 0)), "")</f>
        <v/>
      </c>
      <c r="N135" s="1" t="str">
        <f>IFERROR(INDEX(__key!$D:$D,MATCH(O135&amp;"|"&amp;SUBSTITUTE(J135,",",";"), __key!$E:$E, 0)), "")</f>
        <v/>
      </c>
      <c r="O135" s="1" t="s">
        <v>58</v>
      </c>
      <c r="P135" s="1"/>
      <c r="Q135" s="1" t="s">
        <v>325</v>
      </c>
      <c r="R135" s="1">
        <v>4417</v>
      </c>
      <c r="S135" s="1">
        <f t="shared" si="126"/>
        <v>0</v>
      </c>
      <c r="T135" s="1">
        <f t="shared" si="127"/>
        <v>0</v>
      </c>
      <c r="U135" s="1">
        <f t="shared" si="128"/>
        <v>7.7777777777777777</v>
      </c>
      <c r="V135" s="1">
        <f t="shared" si="129"/>
        <v>99.999999999999972</v>
      </c>
      <c r="W135" s="1">
        <f t="shared" si="130"/>
        <v>7.7777777777777793E-2</v>
      </c>
      <c r="X135" s="1" t="str">
        <f t="shared" si="131"/>
        <v/>
      </c>
      <c r="Y135" s="1" t="b">
        <f t="shared" si="132"/>
        <v>0</v>
      </c>
      <c r="Z135" s="1" t="str">
        <f>IF(Y135, COUNTIF($Y$2:Y135, TRUE), "")</f>
        <v/>
      </c>
      <c r="AA135" s="1">
        <f t="shared" si="133"/>
        <v>7.7777777777777777</v>
      </c>
      <c r="AB135" s="1">
        <f t="shared" si="134"/>
        <v>99.999999999999972</v>
      </c>
      <c r="AC135" s="1">
        <f t="shared" si="135"/>
        <v>7.7777777777777793E-2</v>
      </c>
      <c r="AD135" s="1" t="str">
        <f t="shared" si="136"/>
        <v/>
      </c>
      <c r="AE135" s="1" t="b">
        <f t="shared" si="137"/>
        <v>0</v>
      </c>
      <c r="AF135" s="1" t="b">
        <f t="shared" si="138"/>
        <v>0</v>
      </c>
      <c r="AG135" s="1" t="str">
        <f>IF(AF135, COUNTIF($AF$2:AF135, TRUE), "")</f>
        <v/>
      </c>
    </row>
    <row r="136" spans="1:33" ht="30" hidden="1" outlineLevel="1" x14ac:dyDescent="0.25">
      <c r="A136" s="1" t="s">
        <v>320</v>
      </c>
      <c r="B136" s="1" t="s">
        <v>34</v>
      </c>
      <c r="C136" s="1" t="s">
        <v>321</v>
      </c>
      <c r="D136" s="1" t="s">
        <v>322</v>
      </c>
      <c r="E136" s="1" t="s">
        <v>338</v>
      </c>
      <c r="F136" s="4" t="s">
        <v>339</v>
      </c>
      <c r="G136" s="5">
        <v>7.7777777777777777</v>
      </c>
      <c r="H136" s="16"/>
      <c r="I136" s="3"/>
      <c r="J136" s="16" t="str">
        <f t="shared" si="125"/>
        <v/>
      </c>
      <c r="K136" s="17"/>
      <c r="L136" s="4"/>
      <c r="M136" s="1" t="str">
        <f>IFERROR(INDEX(__key!$D:$D,MATCH(O136&amp;"|"&amp;SUBSTITUTE(H136,",",";"), __key!$E:$E, 0)), "")</f>
        <v/>
      </c>
      <c r="N136" s="1" t="str">
        <f>IFERROR(INDEX(__key!$D:$D,MATCH(O136&amp;"|"&amp;SUBSTITUTE(J136,",",";"), __key!$E:$E, 0)), "")</f>
        <v/>
      </c>
      <c r="O136" s="1" t="s">
        <v>51</v>
      </c>
      <c r="P136" s="1"/>
      <c r="Q136" s="1" t="s">
        <v>325</v>
      </c>
      <c r="R136" s="1">
        <v>4418</v>
      </c>
      <c r="S136" s="1">
        <f t="shared" si="126"/>
        <v>0</v>
      </c>
      <c r="T136" s="1">
        <f t="shared" si="127"/>
        <v>0</v>
      </c>
      <c r="U136" s="1">
        <f t="shared" si="128"/>
        <v>7.7777777777777777</v>
      </c>
      <c r="V136" s="1">
        <f t="shared" si="129"/>
        <v>99.999999999999972</v>
      </c>
      <c r="W136" s="1">
        <f t="shared" si="130"/>
        <v>7.7777777777777793E-2</v>
      </c>
      <c r="X136" s="1" t="str">
        <f t="shared" si="131"/>
        <v/>
      </c>
      <c r="Y136" s="1" t="b">
        <f t="shared" si="132"/>
        <v>0</v>
      </c>
      <c r="Z136" s="1" t="str">
        <f>IF(Y136, COUNTIF($Y$2:Y136, TRUE), "")</f>
        <v/>
      </c>
      <c r="AA136" s="1">
        <f t="shared" si="133"/>
        <v>7.7777777777777777</v>
      </c>
      <c r="AB136" s="1">
        <f t="shared" si="134"/>
        <v>99.999999999999972</v>
      </c>
      <c r="AC136" s="1">
        <f t="shared" si="135"/>
        <v>7.7777777777777793E-2</v>
      </c>
      <c r="AD136" s="1" t="str">
        <f t="shared" si="136"/>
        <v/>
      </c>
      <c r="AE136" s="1" t="b">
        <f t="shared" si="137"/>
        <v>0</v>
      </c>
      <c r="AF136" s="1" t="b">
        <f t="shared" si="138"/>
        <v>0</v>
      </c>
      <c r="AG136" s="1" t="str">
        <f>IF(AF136, COUNTIF($AF$2:AF136, TRUE), "")</f>
        <v/>
      </c>
    </row>
    <row r="137" spans="1:33" ht="30" hidden="1" outlineLevel="1" x14ac:dyDescent="0.25">
      <c r="A137" s="1" t="s">
        <v>320</v>
      </c>
      <c r="B137" s="1" t="s">
        <v>34</v>
      </c>
      <c r="C137" s="1" t="s">
        <v>321</v>
      </c>
      <c r="D137" s="1" t="s">
        <v>322</v>
      </c>
      <c r="E137" s="1" t="s">
        <v>340</v>
      </c>
      <c r="F137" s="4" t="s">
        <v>341</v>
      </c>
      <c r="G137" s="5">
        <v>7.7777777777777777</v>
      </c>
      <c r="H137" s="16"/>
      <c r="I137" s="3"/>
      <c r="J137" s="16" t="str">
        <f t="shared" si="125"/>
        <v/>
      </c>
      <c r="K137" s="17"/>
      <c r="L137" s="4"/>
      <c r="M137" s="1" t="str">
        <f>IFERROR(INDEX(__key!$D:$D,MATCH(O137&amp;"|"&amp;SUBSTITUTE(H137,",",";"), __key!$E:$E, 0)), "")</f>
        <v/>
      </c>
      <c r="N137" s="1" t="str">
        <f>IFERROR(INDEX(__key!$D:$D,MATCH(O137&amp;"|"&amp;SUBSTITUTE(J137,",",";"), __key!$E:$E, 0)), "")</f>
        <v/>
      </c>
      <c r="O137" s="1" t="s">
        <v>51</v>
      </c>
      <c r="P137" s="1"/>
      <c r="Q137" s="1" t="s">
        <v>325</v>
      </c>
      <c r="R137" s="1">
        <v>4419</v>
      </c>
      <c r="S137" s="1">
        <f t="shared" si="126"/>
        <v>0</v>
      </c>
      <c r="T137" s="1">
        <f t="shared" si="127"/>
        <v>0</v>
      </c>
      <c r="U137" s="1">
        <f t="shared" si="128"/>
        <v>7.7777777777777777</v>
      </c>
      <c r="V137" s="1">
        <f t="shared" si="129"/>
        <v>99.999999999999972</v>
      </c>
      <c r="W137" s="1">
        <f t="shared" si="130"/>
        <v>7.7777777777777793E-2</v>
      </c>
      <c r="X137" s="1" t="str">
        <f t="shared" si="131"/>
        <v/>
      </c>
      <c r="Y137" s="1" t="b">
        <f t="shared" si="132"/>
        <v>0</v>
      </c>
      <c r="Z137" s="1" t="str">
        <f>IF(Y137, COUNTIF($Y$2:Y137, TRUE), "")</f>
        <v/>
      </c>
      <c r="AA137" s="1">
        <f t="shared" si="133"/>
        <v>7.7777777777777777</v>
      </c>
      <c r="AB137" s="1">
        <f t="shared" si="134"/>
        <v>99.999999999999972</v>
      </c>
      <c r="AC137" s="1">
        <f t="shared" si="135"/>
        <v>7.7777777777777793E-2</v>
      </c>
      <c r="AD137" s="1" t="str">
        <f t="shared" si="136"/>
        <v/>
      </c>
      <c r="AE137" s="1" t="b">
        <f t="shared" si="137"/>
        <v>0</v>
      </c>
      <c r="AF137" s="1" t="b">
        <f t="shared" si="138"/>
        <v>0</v>
      </c>
      <c r="AG137" s="1" t="str">
        <f>IF(AF137, COUNTIF($AF$2:AF137, TRUE), "")</f>
        <v/>
      </c>
    </row>
    <row r="138" spans="1:33" ht="30" hidden="1" outlineLevel="1" x14ac:dyDescent="0.25">
      <c r="A138" s="1" t="s">
        <v>320</v>
      </c>
      <c r="B138" s="1" t="s">
        <v>34</v>
      </c>
      <c r="C138" s="1" t="s">
        <v>321</v>
      </c>
      <c r="D138" s="1" t="s">
        <v>322</v>
      </c>
      <c r="E138" s="1" t="s">
        <v>342</v>
      </c>
      <c r="F138" s="4" t="s">
        <v>343</v>
      </c>
      <c r="G138" s="5">
        <v>7.7777777777777777</v>
      </c>
      <c r="H138" s="16"/>
      <c r="I138" s="3"/>
      <c r="J138" s="16" t="str">
        <f t="shared" si="125"/>
        <v/>
      </c>
      <c r="K138" s="17"/>
      <c r="L138" s="4"/>
      <c r="M138" s="1" t="str">
        <f>IFERROR(INDEX(__key!$D:$D,MATCH(O138&amp;"|"&amp;SUBSTITUTE(H138,",",";"), __key!$E:$E, 0)), "")</f>
        <v/>
      </c>
      <c r="N138" s="1" t="str">
        <f>IFERROR(INDEX(__key!$D:$D,MATCH(O138&amp;"|"&amp;SUBSTITUTE(J138,",",";"), __key!$E:$E, 0)), "")</f>
        <v/>
      </c>
      <c r="O138" s="1" t="s">
        <v>51</v>
      </c>
      <c r="P138" s="1"/>
      <c r="Q138" s="1" t="s">
        <v>325</v>
      </c>
      <c r="R138" s="1">
        <v>44110</v>
      </c>
      <c r="S138" s="1">
        <f t="shared" si="126"/>
        <v>0</v>
      </c>
      <c r="T138" s="1">
        <f t="shared" si="127"/>
        <v>0</v>
      </c>
      <c r="U138" s="1">
        <f t="shared" si="128"/>
        <v>7.7777777777777777</v>
      </c>
      <c r="V138" s="1">
        <f t="shared" si="129"/>
        <v>99.999999999999972</v>
      </c>
      <c r="W138" s="1">
        <f t="shared" si="130"/>
        <v>7.7777777777777793E-2</v>
      </c>
      <c r="X138" s="1" t="str">
        <f t="shared" si="131"/>
        <v/>
      </c>
      <c r="Y138" s="1" t="b">
        <f t="shared" si="132"/>
        <v>0</v>
      </c>
      <c r="Z138" s="1" t="str">
        <f>IF(Y138, COUNTIF($Y$2:Y138, TRUE), "")</f>
        <v/>
      </c>
      <c r="AA138" s="1">
        <f t="shared" si="133"/>
        <v>7.7777777777777777</v>
      </c>
      <c r="AB138" s="1">
        <f t="shared" si="134"/>
        <v>99.999999999999972</v>
      </c>
      <c r="AC138" s="1">
        <f t="shared" si="135"/>
        <v>7.7777777777777793E-2</v>
      </c>
      <c r="AD138" s="1" t="str">
        <f t="shared" si="136"/>
        <v/>
      </c>
      <c r="AE138" s="1" t="b">
        <f t="shared" si="137"/>
        <v>0</v>
      </c>
      <c r="AF138" s="1" t="b">
        <f t="shared" si="138"/>
        <v>0</v>
      </c>
      <c r="AG138" s="1" t="str">
        <f>IF(AF138, COUNTIF($AF$2:AF138, TRUE), "")</f>
        <v/>
      </c>
    </row>
    <row r="139" spans="1:33" ht="30" customHeight="1" collapsed="1" x14ac:dyDescent="0.25">
      <c r="A139" s="1"/>
      <c r="B139" s="1"/>
      <c r="C139" s="1"/>
      <c r="D139" s="1"/>
      <c r="E139" s="1"/>
      <c r="F139" s="14" t="s">
        <v>344</v>
      </c>
      <c r="G139" s="15"/>
      <c r="H139" s="14"/>
      <c r="I139" s="14"/>
      <c r="J139" s="14"/>
      <c r="K139" s="14"/>
      <c r="L139" s="14"/>
      <c r="M139" s="1"/>
      <c r="N139" s="1"/>
      <c r="O139" s="1"/>
      <c r="P139" s="1"/>
      <c r="Q139" s="1"/>
      <c r="R139" s="1"/>
      <c r="S139" s="1"/>
      <c r="T139" s="1"/>
      <c r="U139" s="1"/>
      <c r="V139" s="1"/>
      <c r="W139" s="1"/>
      <c r="X139" s="1"/>
      <c r="Y139" s="1"/>
      <c r="Z139" s="1"/>
      <c r="AA139" s="1"/>
      <c r="AB139" s="1"/>
      <c r="AC139" s="1"/>
      <c r="AD139" s="1"/>
      <c r="AE139" s="1"/>
      <c r="AF139" s="1"/>
      <c r="AG139" s="1"/>
    </row>
    <row r="140" spans="1:33" ht="30" hidden="1" outlineLevel="1" x14ac:dyDescent="0.25">
      <c r="A140" s="1" t="s">
        <v>344</v>
      </c>
      <c r="B140" s="1" t="s">
        <v>34</v>
      </c>
      <c r="C140" s="1" t="s">
        <v>321</v>
      </c>
      <c r="D140" s="1" t="s">
        <v>345</v>
      </c>
      <c r="E140" s="1" t="s">
        <v>346</v>
      </c>
      <c r="F140" s="4" t="s">
        <v>333</v>
      </c>
      <c r="G140" s="5">
        <v>12.5</v>
      </c>
      <c r="H140" s="16"/>
      <c r="I140" s="3"/>
      <c r="J140" s="16" t="str">
        <f>IF(H140="","",H140)</f>
        <v/>
      </c>
      <c r="K140" s="17"/>
      <c r="L140" s="4"/>
      <c r="M140" s="1" t="str">
        <f>IFERROR(INDEX(__key!$D:$D,MATCH(O140&amp;"|"&amp;SUBSTITUTE(H140,",",";"), __key!$E:$E, 0)), "")</f>
        <v/>
      </c>
      <c r="N140" s="1" t="str">
        <f>IFERROR(INDEX(__key!$D:$D,MATCH(O140&amp;"|"&amp;SUBSTITUTE(J140,",",";"), __key!$E:$E, 0)), "")</f>
        <v/>
      </c>
      <c r="O140" s="1" t="s">
        <v>51</v>
      </c>
      <c r="P140" s="1"/>
      <c r="Q140" s="1" t="s">
        <v>325</v>
      </c>
      <c r="R140" s="1">
        <v>4421</v>
      </c>
      <c r="S140" s="1">
        <f t="shared" ref="S140:T144" si="139">IFERROR(1*M140,0)</f>
        <v>0</v>
      </c>
      <c r="T140" s="1">
        <f t="shared" si="139"/>
        <v>0</v>
      </c>
      <c r="U140" s="1">
        <f>IFERROR(IF(ISNUMBER(SEARCH("Not Relevant",H140)),0,VALUE(G140)),"")</f>
        <v>12.5</v>
      </c>
      <c r="V140" s="1">
        <f>IFERROR(SUMIF($D:$D,D140,$U:$U),"")</f>
        <v>62.5</v>
      </c>
      <c r="W140" s="1">
        <f>IF(OR(V140=0,V140=""),"",U140/V140)</f>
        <v>0.2</v>
      </c>
      <c r="X140" s="1" t="str">
        <f>IF(OR(M140="",W140=""),"",VALUE(M140)*W140)</f>
        <v/>
      </c>
      <c r="Y140" s="1" t="b">
        <f>IFERROR(ISNUMBER(SEARCH("Not Relevant",H140)),FALSE)</f>
        <v>0</v>
      </c>
      <c r="Z140" s="1" t="str">
        <f>IF(Y140, COUNTIF($Y$2:Y140, TRUE), "")</f>
        <v/>
      </c>
      <c r="AA140" s="1">
        <f>IFERROR(IF(ISNUMBER(SEARCH("Not Relevant",J140)),0,VALUE(G140)),"")</f>
        <v>12.5</v>
      </c>
      <c r="AB140" s="1">
        <f>IFERROR(SUMIF($D:$D,D140,$AA:$AA),"")</f>
        <v>62.5</v>
      </c>
      <c r="AC140" s="1">
        <f>IF(OR(AB140=0,AB140=""),"",AA140/AB140)</f>
        <v>0.2</v>
      </c>
      <c r="AD140" s="1" t="str">
        <f>IF(OR(N140="",AC140=""),"",VALUE(N140)*AC140)</f>
        <v/>
      </c>
      <c r="AE140" s="1" t="b">
        <f>IFERROR(ISNUMBER(SEARCH("Not Relevant",J140)),FALSE)</f>
        <v>0</v>
      </c>
      <c r="AF140" s="1" t="b">
        <f>IF(OR(H140="",J140=""),FALSE,IF(H140&lt;&gt;J140,TRUE,FALSE))</f>
        <v>0</v>
      </c>
      <c r="AG140" s="1" t="str">
        <f>IF(AF140, COUNTIF($AF$2:AF140, TRUE), "")</f>
        <v/>
      </c>
    </row>
    <row r="141" spans="1:33" ht="75" hidden="1" outlineLevel="1" x14ac:dyDescent="0.25">
      <c r="A141" s="1" t="s">
        <v>344</v>
      </c>
      <c r="B141" s="1" t="s">
        <v>34</v>
      </c>
      <c r="C141" s="1" t="s">
        <v>321</v>
      </c>
      <c r="D141" s="1" t="s">
        <v>345</v>
      </c>
      <c r="E141" s="1" t="s">
        <v>347</v>
      </c>
      <c r="F141" s="4" t="s">
        <v>348</v>
      </c>
      <c r="G141" s="5">
        <v>12.5</v>
      </c>
      <c r="H141" s="16"/>
      <c r="I141" s="3"/>
      <c r="J141" s="16" t="str">
        <f>IF(H141="","",H141)</f>
        <v/>
      </c>
      <c r="K141" s="17"/>
      <c r="L141" s="4"/>
      <c r="M141" s="1" t="str">
        <f>IFERROR(INDEX(__key!$D:$D,MATCH(O141&amp;"|"&amp;SUBSTITUTE(H141,",",";"), __key!$E:$E, 0)), "")</f>
        <v/>
      </c>
      <c r="N141" s="1" t="str">
        <f>IFERROR(INDEX(__key!$D:$D,MATCH(O141&amp;"|"&amp;SUBSTITUTE(J141,",",";"), __key!$E:$E, 0)), "")</f>
        <v/>
      </c>
      <c r="O141" s="1" t="s">
        <v>51</v>
      </c>
      <c r="P141" s="1"/>
      <c r="Q141" s="1" t="s">
        <v>325</v>
      </c>
      <c r="R141" s="1">
        <v>4422</v>
      </c>
      <c r="S141" s="1">
        <f t="shared" si="139"/>
        <v>0</v>
      </c>
      <c r="T141" s="1">
        <f t="shared" si="139"/>
        <v>0</v>
      </c>
      <c r="U141" s="1">
        <f>IFERROR(IF(ISNUMBER(SEARCH("Not Relevant",H141)),0,VALUE(G141)),"")</f>
        <v>12.5</v>
      </c>
      <c r="V141" s="1">
        <f>IFERROR(SUMIF($D:$D,D141,$U:$U),"")</f>
        <v>62.5</v>
      </c>
      <c r="W141" s="1">
        <f>IF(OR(V141=0,V141=""),"",U141/V141)</f>
        <v>0.2</v>
      </c>
      <c r="X141" s="1" t="str">
        <f>IF(OR(M141="",W141=""),"",VALUE(M141)*W141)</f>
        <v/>
      </c>
      <c r="Y141" s="1" t="b">
        <f>IFERROR(ISNUMBER(SEARCH("Not Relevant",H141)),FALSE)</f>
        <v>0</v>
      </c>
      <c r="Z141" s="1" t="str">
        <f>IF(Y141, COUNTIF($Y$2:Y141, TRUE), "")</f>
        <v/>
      </c>
      <c r="AA141" s="1">
        <f>IFERROR(IF(ISNUMBER(SEARCH("Not Relevant",J141)),0,VALUE(G141)),"")</f>
        <v>12.5</v>
      </c>
      <c r="AB141" s="1">
        <f>IFERROR(SUMIF($D:$D,D141,$AA:$AA),"")</f>
        <v>62.5</v>
      </c>
      <c r="AC141" s="1">
        <f>IF(OR(AB141=0,AB141=""),"",AA141/AB141)</f>
        <v>0.2</v>
      </c>
      <c r="AD141" s="1" t="str">
        <f>IF(OR(N141="",AC141=""),"",VALUE(N141)*AC141)</f>
        <v/>
      </c>
      <c r="AE141" s="1" t="b">
        <f>IFERROR(ISNUMBER(SEARCH("Not Relevant",J141)),FALSE)</f>
        <v>0</v>
      </c>
      <c r="AF141" s="1" t="b">
        <f>IF(OR(H141="",J141=""),FALSE,IF(H141&lt;&gt;J141,TRUE,FALSE))</f>
        <v>0</v>
      </c>
      <c r="AG141" s="1" t="str">
        <f>IF(AF141, COUNTIF($AF$2:AF141, TRUE), "")</f>
        <v/>
      </c>
    </row>
    <row r="142" spans="1:33" ht="45" hidden="1" outlineLevel="1" x14ac:dyDescent="0.25">
      <c r="A142" s="1" t="s">
        <v>344</v>
      </c>
      <c r="B142" s="1" t="s">
        <v>34</v>
      </c>
      <c r="C142" s="1" t="s">
        <v>321</v>
      </c>
      <c r="D142" s="1" t="s">
        <v>345</v>
      </c>
      <c r="E142" s="1" t="s">
        <v>349</v>
      </c>
      <c r="F142" s="4" t="s">
        <v>350</v>
      </c>
      <c r="G142" s="5">
        <v>12.5</v>
      </c>
      <c r="H142" s="16"/>
      <c r="I142" s="3"/>
      <c r="J142" s="16" t="str">
        <f>IF(H142="","",H142)</f>
        <v/>
      </c>
      <c r="K142" s="17"/>
      <c r="L142" s="4"/>
      <c r="M142" s="1" t="str">
        <f>IFERROR(INDEX(__key!$D:$D,MATCH(O142&amp;"|"&amp;SUBSTITUTE(H142,",",";"), __key!$E:$E, 0)), "")</f>
        <v/>
      </c>
      <c r="N142" s="1" t="str">
        <f>IFERROR(INDEX(__key!$D:$D,MATCH(O142&amp;"|"&amp;SUBSTITUTE(J142,",",";"), __key!$E:$E, 0)), "")</f>
        <v/>
      </c>
      <c r="O142" s="1" t="s">
        <v>51</v>
      </c>
      <c r="P142" s="1"/>
      <c r="Q142" s="1" t="s">
        <v>325</v>
      </c>
      <c r="R142" s="1">
        <v>4423</v>
      </c>
      <c r="S142" s="1">
        <f t="shared" si="139"/>
        <v>0</v>
      </c>
      <c r="T142" s="1">
        <f t="shared" si="139"/>
        <v>0</v>
      </c>
      <c r="U142" s="1">
        <f>IFERROR(IF(ISNUMBER(SEARCH("Not Relevant",H142)),0,VALUE(G142)),"")</f>
        <v>12.5</v>
      </c>
      <c r="V142" s="1">
        <f>IFERROR(SUMIF($D:$D,D142,$U:$U),"")</f>
        <v>62.5</v>
      </c>
      <c r="W142" s="1">
        <f>IF(OR(V142=0,V142=""),"",U142/V142)</f>
        <v>0.2</v>
      </c>
      <c r="X142" s="1" t="str">
        <f>IF(OR(M142="",W142=""),"",VALUE(M142)*W142)</f>
        <v/>
      </c>
      <c r="Y142" s="1" t="b">
        <f>IFERROR(ISNUMBER(SEARCH("Not Relevant",H142)),FALSE)</f>
        <v>0</v>
      </c>
      <c r="Z142" s="1" t="str">
        <f>IF(Y142, COUNTIF($Y$2:Y142, TRUE), "")</f>
        <v/>
      </c>
      <c r="AA142" s="1">
        <f>IFERROR(IF(ISNUMBER(SEARCH("Not Relevant",J142)),0,VALUE(G142)),"")</f>
        <v>12.5</v>
      </c>
      <c r="AB142" s="1">
        <f>IFERROR(SUMIF($D:$D,D142,$AA:$AA),"")</f>
        <v>62.5</v>
      </c>
      <c r="AC142" s="1">
        <f>IF(OR(AB142=0,AB142=""),"",AA142/AB142)</f>
        <v>0.2</v>
      </c>
      <c r="AD142" s="1" t="str">
        <f>IF(OR(N142="",AC142=""),"",VALUE(N142)*AC142)</f>
        <v/>
      </c>
      <c r="AE142" s="1" t="b">
        <f>IFERROR(ISNUMBER(SEARCH("Not Relevant",J142)),FALSE)</f>
        <v>0</v>
      </c>
      <c r="AF142" s="1" t="b">
        <f>IF(OR(H142="",J142=""),FALSE,IF(H142&lt;&gt;J142,TRUE,FALSE))</f>
        <v>0</v>
      </c>
      <c r="AG142" s="1" t="str">
        <f>IF(AF142, COUNTIF($AF$2:AF142, TRUE), "")</f>
        <v/>
      </c>
    </row>
    <row r="143" spans="1:33" ht="30" hidden="1" outlineLevel="1" x14ac:dyDescent="0.25">
      <c r="A143" s="1" t="s">
        <v>344</v>
      </c>
      <c r="B143" s="1" t="s">
        <v>34</v>
      </c>
      <c r="C143" s="1" t="s">
        <v>321</v>
      </c>
      <c r="D143" s="1" t="s">
        <v>345</v>
      </c>
      <c r="E143" s="1" t="s">
        <v>351</v>
      </c>
      <c r="F143" s="4" t="s">
        <v>352</v>
      </c>
      <c r="G143" s="5">
        <v>12.5</v>
      </c>
      <c r="H143" s="16"/>
      <c r="I143" s="3"/>
      <c r="J143" s="16" t="str">
        <f>IF(H143="","",H143)</f>
        <v/>
      </c>
      <c r="K143" s="17"/>
      <c r="L143" s="4"/>
      <c r="M143" s="1" t="str">
        <f>IFERROR(INDEX(__key!$D:$D,MATCH(O143&amp;"|"&amp;SUBSTITUTE(H143,",",";"), __key!$E:$E, 0)), "")</f>
        <v/>
      </c>
      <c r="N143" s="1" t="str">
        <f>IFERROR(INDEX(__key!$D:$D,MATCH(O143&amp;"|"&amp;SUBSTITUTE(J143,",",";"), __key!$E:$E, 0)), "")</f>
        <v/>
      </c>
      <c r="O143" s="1" t="s">
        <v>51</v>
      </c>
      <c r="P143" s="1"/>
      <c r="Q143" s="1" t="s">
        <v>325</v>
      </c>
      <c r="R143" s="1">
        <v>4424</v>
      </c>
      <c r="S143" s="1">
        <f t="shared" si="139"/>
        <v>0</v>
      </c>
      <c r="T143" s="1">
        <f t="shared" si="139"/>
        <v>0</v>
      </c>
      <c r="U143" s="1">
        <f>IFERROR(IF(ISNUMBER(SEARCH("Not Relevant",H143)),0,VALUE(G143)),"")</f>
        <v>12.5</v>
      </c>
      <c r="V143" s="1">
        <f>IFERROR(SUMIF($D:$D,D143,$U:$U),"")</f>
        <v>62.5</v>
      </c>
      <c r="W143" s="1">
        <f>IF(OR(V143=0,V143=""),"",U143/V143)</f>
        <v>0.2</v>
      </c>
      <c r="X143" s="1" t="str">
        <f>IF(OR(M143="",W143=""),"",VALUE(M143)*W143)</f>
        <v/>
      </c>
      <c r="Y143" s="1" t="b">
        <f>IFERROR(ISNUMBER(SEARCH("Not Relevant",H143)),FALSE)</f>
        <v>0</v>
      </c>
      <c r="Z143" s="1" t="str">
        <f>IF(Y143, COUNTIF($Y$2:Y143, TRUE), "")</f>
        <v/>
      </c>
      <c r="AA143" s="1">
        <f>IFERROR(IF(ISNUMBER(SEARCH("Not Relevant",J143)),0,VALUE(G143)),"")</f>
        <v>12.5</v>
      </c>
      <c r="AB143" s="1">
        <f>IFERROR(SUMIF($D:$D,D143,$AA:$AA),"")</f>
        <v>62.5</v>
      </c>
      <c r="AC143" s="1">
        <f>IF(OR(AB143=0,AB143=""),"",AA143/AB143)</f>
        <v>0.2</v>
      </c>
      <c r="AD143" s="1" t="str">
        <f>IF(OR(N143="",AC143=""),"",VALUE(N143)*AC143)</f>
        <v/>
      </c>
      <c r="AE143" s="1" t="b">
        <f>IFERROR(ISNUMBER(SEARCH("Not Relevant",J143)),FALSE)</f>
        <v>0</v>
      </c>
      <c r="AF143" s="1" t="b">
        <f>IF(OR(H143="",J143=""),FALSE,IF(H143&lt;&gt;J143,TRUE,FALSE))</f>
        <v>0</v>
      </c>
      <c r="AG143" s="1" t="str">
        <f>IF(AF143, COUNTIF($AF$2:AF143, TRUE), "")</f>
        <v/>
      </c>
    </row>
    <row r="144" spans="1:33" ht="30" hidden="1" outlineLevel="1" x14ac:dyDescent="0.25">
      <c r="A144" s="1" t="s">
        <v>344</v>
      </c>
      <c r="B144" s="1" t="s">
        <v>34</v>
      </c>
      <c r="C144" s="1" t="s">
        <v>321</v>
      </c>
      <c r="D144" s="1" t="s">
        <v>345</v>
      </c>
      <c r="E144" s="1" t="s">
        <v>353</v>
      </c>
      <c r="F144" s="4" t="s">
        <v>354</v>
      </c>
      <c r="G144" s="5">
        <v>12.5</v>
      </c>
      <c r="H144" s="16"/>
      <c r="I144" s="3"/>
      <c r="J144" s="16" t="str">
        <f>IF(H144="","",H144)</f>
        <v/>
      </c>
      <c r="K144" s="17"/>
      <c r="L144" s="4"/>
      <c r="M144" s="1" t="str">
        <f>IFERROR(INDEX(__key!$D:$D,MATCH(O144&amp;"|"&amp;SUBSTITUTE(H144,",",";"), __key!$E:$E, 0)), "")</f>
        <v/>
      </c>
      <c r="N144" s="1" t="str">
        <f>IFERROR(INDEX(__key!$D:$D,MATCH(O144&amp;"|"&amp;SUBSTITUTE(J144,",",";"), __key!$E:$E, 0)), "")</f>
        <v/>
      </c>
      <c r="O144" s="1" t="s">
        <v>51</v>
      </c>
      <c r="P144" s="1"/>
      <c r="Q144" s="1" t="s">
        <v>325</v>
      </c>
      <c r="R144" s="1">
        <v>4425</v>
      </c>
      <c r="S144" s="1">
        <f t="shared" si="139"/>
        <v>0</v>
      </c>
      <c r="T144" s="1">
        <f t="shared" si="139"/>
        <v>0</v>
      </c>
      <c r="U144" s="1">
        <f>IFERROR(IF(ISNUMBER(SEARCH("Not Relevant",H144)),0,VALUE(G144)),"")</f>
        <v>12.5</v>
      </c>
      <c r="V144" s="1">
        <f>IFERROR(SUMIF($D:$D,D144,$U:$U),"")</f>
        <v>62.5</v>
      </c>
      <c r="W144" s="1">
        <f>IF(OR(V144=0,V144=""),"",U144/V144)</f>
        <v>0.2</v>
      </c>
      <c r="X144" s="1" t="str">
        <f>IF(OR(M144="",W144=""),"",VALUE(M144)*W144)</f>
        <v/>
      </c>
      <c r="Y144" s="1" t="b">
        <f>IFERROR(ISNUMBER(SEARCH("Not Relevant",H144)),FALSE)</f>
        <v>0</v>
      </c>
      <c r="Z144" s="1" t="str">
        <f>IF(Y144, COUNTIF($Y$2:Y144, TRUE), "")</f>
        <v/>
      </c>
      <c r="AA144" s="1">
        <f>IFERROR(IF(ISNUMBER(SEARCH("Not Relevant",J144)),0,VALUE(G144)),"")</f>
        <v>12.5</v>
      </c>
      <c r="AB144" s="1">
        <f>IFERROR(SUMIF($D:$D,D144,$AA:$AA),"")</f>
        <v>62.5</v>
      </c>
      <c r="AC144" s="1">
        <f>IF(OR(AB144=0,AB144=""),"",AA144/AB144)</f>
        <v>0.2</v>
      </c>
      <c r="AD144" s="1" t="str">
        <f>IF(OR(N144="",AC144=""),"",VALUE(N144)*AC144)</f>
        <v/>
      </c>
      <c r="AE144" s="1" t="b">
        <f>IFERROR(ISNUMBER(SEARCH("Not Relevant",J144)),FALSE)</f>
        <v>0</v>
      </c>
      <c r="AF144" s="1" t="b">
        <f>IF(OR(H144="",J144=""),FALSE,IF(H144&lt;&gt;J144,TRUE,FALSE))</f>
        <v>0</v>
      </c>
      <c r="AG144" s="1" t="str">
        <f>IF(AF144, COUNTIF($AF$2:AF144, TRUE), "")</f>
        <v/>
      </c>
    </row>
    <row r="145" spans="1:33" ht="30" customHeight="1" collapsed="1" x14ac:dyDescent="0.25">
      <c r="A145" s="1"/>
      <c r="B145" s="1"/>
      <c r="C145" s="1"/>
      <c r="D145" s="1"/>
      <c r="E145" s="1"/>
      <c r="F145" s="14" t="s">
        <v>355</v>
      </c>
      <c r="G145" s="15"/>
      <c r="H145" s="14"/>
      <c r="I145" s="14"/>
      <c r="J145" s="14"/>
      <c r="K145" s="14"/>
      <c r="L145" s="14"/>
      <c r="M145" s="1"/>
      <c r="N145" s="1"/>
      <c r="O145" s="1"/>
      <c r="P145" s="1"/>
      <c r="Q145" s="1"/>
      <c r="R145" s="1"/>
      <c r="S145" s="1"/>
      <c r="T145" s="1"/>
      <c r="U145" s="1"/>
      <c r="V145" s="1"/>
      <c r="W145" s="1"/>
      <c r="X145" s="1"/>
      <c r="Y145" s="1"/>
      <c r="Z145" s="1"/>
      <c r="AA145" s="1"/>
      <c r="AB145" s="1"/>
      <c r="AC145" s="1"/>
      <c r="AD145" s="1"/>
      <c r="AE145" s="1"/>
      <c r="AF145" s="1"/>
      <c r="AG145" s="1"/>
    </row>
    <row r="146" spans="1:33" ht="60" hidden="1" outlineLevel="1" x14ac:dyDescent="0.25">
      <c r="A146" s="1" t="s">
        <v>355</v>
      </c>
      <c r="B146" s="1" t="s">
        <v>34</v>
      </c>
      <c r="C146" s="1" t="s">
        <v>356</v>
      </c>
      <c r="D146" s="1" t="s">
        <v>357</v>
      </c>
      <c r="E146" s="1" t="s">
        <v>358</v>
      </c>
      <c r="F146" s="4" t="s">
        <v>359</v>
      </c>
      <c r="G146" s="5">
        <v>14.285714285714279</v>
      </c>
      <c r="H146" s="16"/>
      <c r="I146" s="3"/>
      <c r="J146" s="16" t="str">
        <f t="shared" ref="J146:J152" si="140">IF(H146="","",H146)</f>
        <v/>
      </c>
      <c r="K146" s="17"/>
      <c r="L146" s="4"/>
      <c r="M146" s="1" t="str">
        <f>IFERROR(INDEX(__key!$D:$D,MATCH(O146&amp;"|"&amp;SUBSTITUTE(H146,",",";"), __key!$E:$E, 0)), "")</f>
        <v/>
      </c>
      <c r="N146" s="1" t="str">
        <f>IFERROR(INDEX(__key!$D:$D,MATCH(O146&amp;"|"&amp;SUBSTITUTE(J146,",",";"), __key!$E:$E, 0)), "")</f>
        <v/>
      </c>
      <c r="O146" s="1" t="s">
        <v>51</v>
      </c>
      <c r="P146" s="1"/>
      <c r="Q146" s="1" t="s">
        <v>360</v>
      </c>
      <c r="R146" s="1">
        <v>4511</v>
      </c>
      <c r="S146" s="1">
        <f t="shared" ref="S146:T152" si="141">IFERROR(1*M146,0)</f>
        <v>0</v>
      </c>
      <c r="T146" s="1">
        <f t="shared" si="141"/>
        <v>0</v>
      </c>
      <c r="U146" s="1">
        <f t="shared" ref="U146:U152" si="142">IFERROR(IF(ISNUMBER(SEARCH("Not Relevant",H146)),0,VALUE(G146)),"")</f>
        <v>14.285714285714279</v>
      </c>
      <c r="V146" s="1">
        <f t="shared" ref="V146:V152" si="143">IFERROR(SUMIF($D:$D,D146,$U:$U),"")</f>
        <v>99.999999999999957</v>
      </c>
      <c r="W146" s="1">
        <f t="shared" ref="W146:W152" si="144">IF(OR(V146=0,V146=""),"",U146/V146)</f>
        <v>0.14285714285714285</v>
      </c>
      <c r="X146" s="1" t="str">
        <f t="shared" ref="X146:X152" si="145">IF(OR(M146="",W146=""),"",VALUE(M146)*W146)</f>
        <v/>
      </c>
      <c r="Y146" s="1" t="b">
        <f t="shared" ref="Y146:Y152" si="146">IFERROR(ISNUMBER(SEARCH("Not Relevant",H146)),FALSE)</f>
        <v>0</v>
      </c>
      <c r="Z146" s="1" t="str">
        <f>IF(Y146, COUNTIF($Y$2:Y146, TRUE), "")</f>
        <v/>
      </c>
      <c r="AA146" s="1">
        <f t="shared" ref="AA146:AA152" si="147">IFERROR(IF(ISNUMBER(SEARCH("Not Relevant",J146)),0,VALUE(G146)),"")</f>
        <v>14.285714285714279</v>
      </c>
      <c r="AB146" s="1">
        <f t="shared" ref="AB146:AB152" si="148">IFERROR(SUMIF($D:$D,D146,$AA:$AA),"")</f>
        <v>99.999999999999957</v>
      </c>
      <c r="AC146" s="1">
        <f t="shared" ref="AC146:AC152" si="149">IF(OR(AB146=0,AB146=""),"",AA146/AB146)</f>
        <v>0.14285714285714285</v>
      </c>
      <c r="AD146" s="1" t="str">
        <f t="shared" ref="AD146:AD152" si="150">IF(OR(N146="",AC146=""),"",VALUE(N146)*AC146)</f>
        <v/>
      </c>
      <c r="AE146" s="1" t="b">
        <f t="shared" ref="AE146:AE152" si="151">IFERROR(ISNUMBER(SEARCH("Not Relevant",J146)),FALSE)</f>
        <v>0</v>
      </c>
      <c r="AF146" s="1" t="b">
        <f t="shared" ref="AF146:AF152" si="152">IF(OR(H146="",J146=""),FALSE,IF(H146&lt;&gt;J146,TRUE,FALSE))</f>
        <v>0</v>
      </c>
      <c r="AG146" s="1" t="str">
        <f>IF(AF146, COUNTIF($AF$2:AF146, TRUE), "")</f>
        <v/>
      </c>
    </row>
    <row r="147" spans="1:33" ht="30" hidden="1" outlineLevel="1" x14ac:dyDescent="0.25">
      <c r="A147" s="1" t="s">
        <v>355</v>
      </c>
      <c r="B147" s="1" t="s">
        <v>34</v>
      </c>
      <c r="C147" s="1" t="s">
        <v>356</v>
      </c>
      <c r="D147" s="1" t="s">
        <v>357</v>
      </c>
      <c r="E147" s="1" t="s">
        <v>361</v>
      </c>
      <c r="F147" s="4" t="s">
        <v>362</v>
      </c>
      <c r="G147" s="5">
        <v>14.285714285714279</v>
      </c>
      <c r="H147" s="16"/>
      <c r="I147" s="3"/>
      <c r="J147" s="16" t="str">
        <f t="shared" si="140"/>
        <v/>
      </c>
      <c r="K147" s="17"/>
      <c r="L147" s="4"/>
      <c r="M147" s="1" t="str">
        <f>IFERROR(INDEX(__key!$D:$D,MATCH(O147&amp;"|"&amp;SUBSTITUTE(H147,",",";"), __key!$E:$E, 0)), "")</f>
        <v/>
      </c>
      <c r="N147" s="1" t="str">
        <f>IFERROR(INDEX(__key!$D:$D,MATCH(O147&amp;"|"&amp;SUBSTITUTE(J147,",",";"), __key!$E:$E, 0)), "")</f>
        <v/>
      </c>
      <c r="O147" s="1" t="s">
        <v>51</v>
      </c>
      <c r="P147" s="1"/>
      <c r="Q147" s="1" t="s">
        <v>360</v>
      </c>
      <c r="R147" s="1">
        <v>4512</v>
      </c>
      <c r="S147" s="1">
        <f t="shared" si="141"/>
        <v>0</v>
      </c>
      <c r="T147" s="1">
        <f t="shared" si="141"/>
        <v>0</v>
      </c>
      <c r="U147" s="1">
        <f t="shared" si="142"/>
        <v>14.285714285714279</v>
      </c>
      <c r="V147" s="1">
        <f t="shared" si="143"/>
        <v>99.999999999999957</v>
      </c>
      <c r="W147" s="1">
        <f t="shared" si="144"/>
        <v>0.14285714285714285</v>
      </c>
      <c r="X147" s="1" t="str">
        <f t="shared" si="145"/>
        <v/>
      </c>
      <c r="Y147" s="1" t="b">
        <f t="shared" si="146"/>
        <v>0</v>
      </c>
      <c r="Z147" s="1" t="str">
        <f>IF(Y147, COUNTIF($Y$2:Y147, TRUE), "")</f>
        <v/>
      </c>
      <c r="AA147" s="1">
        <f t="shared" si="147"/>
        <v>14.285714285714279</v>
      </c>
      <c r="AB147" s="1">
        <f t="shared" si="148"/>
        <v>99.999999999999957</v>
      </c>
      <c r="AC147" s="1">
        <f t="shared" si="149"/>
        <v>0.14285714285714285</v>
      </c>
      <c r="AD147" s="1" t="str">
        <f t="shared" si="150"/>
        <v/>
      </c>
      <c r="AE147" s="1" t="b">
        <f t="shared" si="151"/>
        <v>0</v>
      </c>
      <c r="AF147" s="1" t="b">
        <f t="shared" si="152"/>
        <v>0</v>
      </c>
      <c r="AG147" s="1" t="str">
        <f>IF(AF147, COUNTIF($AF$2:AF147, TRUE), "")</f>
        <v/>
      </c>
    </row>
    <row r="148" spans="1:33" ht="30" hidden="1" outlineLevel="1" x14ac:dyDescent="0.25">
      <c r="A148" s="1" t="s">
        <v>355</v>
      </c>
      <c r="B148" s="1" t="s">
        <v>34</v>
      </c>
      <c r="C148" s="1" t="s">
        <v>356</v>
      </c>
      <c r="D148" s="1" t="s">
        <v>357</v>
      </c>
      <c r="E148" s="1" t="s">
        <v>363</v>
      </c>
      <c r="F148" s="4" t="s">
        <v>364</v>
      </c>
      <c r="G148" s="5">
        <v>14.285714285714279</v>
      </c>
      <c r="H148" s="16"/>
      <c r="I148" s="3"/>
      <c r="J148" s="16" t="str">
        <f t="shared" si="140"/>
        <v/>
      </c>
      <c r="K148" s="17"/>
      <c r="L148" s="4"/>
      <c r="M148" s="1" t="str">
        <f>IFERROR(INDEX(__key!$D:$D,MATCH(O148&amp;"|"&amp;SUBSTITUTE(H148,",",";"), __key!$E:$E, 0)), "")</f>
        <v/>
      </c>
      <c r="N148" s="1" t="str">
        <f>IFERROR(INDEX(__key!$D:$D,MATCH(O148&amp;"|"&amp;SUBSTITUTE(J148,",",";"), __key!$E:$E, 0)), "")</f>
        <v/>
      </c>
      <c r="O148" s="1" t="s">
        <v>51</v>
      </c>
      <c r="P148" s="1"/>
      <c r="Q148" s="1" t="s">
        <v>360</v>
      </c>
      <c r="R148" s="1">
        <v>4513</v>
      </c>
      <c r="S148" s="1">
        <f t="shared" si="141"/>
        <v>0</v>
      </c>
      <c r="T148" s="1">
        <f t="shared" si="141"/>
        <v>0</v>
      </c>
      <c r="U148" s="1">
        <f t="shared" si="142"/>
        <v>14.285714285714279</v>
      </c>
      <c r="V148" s="1">
        <f t="shared" si="143"/>
        <v>99.999999999999957</v>
      </c>
      <c r="W148" s="1">
        <f t="shared" si="144"/>
        <v>0.14285714285714285</v>
      </c>
      <c r="X148" s="1" t="str">
        <f t="shared" si="145"/>
        <v/>
      </c>
      <c r="Y148" s="1" t="b">
        <f t="shared" si="146"/>
        <v>0</v>
      </c>
      <c r="Z148" s="1" t="str">
        <f>IF(Y148, COUNTIF($Y$2:Y148, TRUE), "")</f>
        <v/>
      </c>
      <c r="AA148" s="1">
        <f t="shared" si="147"/>
        <v>14.285714285714279</v>
      </c>
      <c r="AB148" s="1">
        <f t="shared" si="148"/>
        <v>99.999999999999957</v>
      </c>
      <c r="AC148" s="1">
        <f t="shared" si="149"/>
        <v>0.14285714285714285</v>
      </c>
      <c r="AD148" s="1" t="str">
        <f t="shared" si="150"/>
        <v/>
      </c>
      <c r="AE148" s="1" t="b">
        <f t="shared" si="151"/>
        <v>0</v>
      </c>
      <c r="AF148" s="1" t="b">
        <f t="shared" si="152"/>
        <v>0</v>
      </c>
      <c r="AG148" s="1" t="str">
        <f>IF(AF148, COUNTIF($AF$2:AF148, TRUE), "")</f>
        <v/>
      </c>
    </row>
    <row r="149" spans="1:33" ht="30" hidden="1" outlineLevel="1" x14ac:dyDescent="0.25">
      <c r="A149" s="1" t="s">
        <v>355</v>
      </c>
      <c r="B149" s="1" t="s">
        <v>34</v>
      </c>
      <c r="C149" s="1" t="s">
        <v>356</v>
      </c>
      <c r="D149" s="1" t="s">
        <v>357</v>
      </c>
      <c r="E149" s="1" t="s">
        <v>365</v>
      </c>
      <c r="F149" s="4" t="s">
        <v>366</v>
      </c>
      <c r="G149" s="5">
        <v>14.285714285714279</v>
      </c>
      <c r="H149" s="16"/>
      <c r="I149" s="3"/>
      <c r="J149" s="16" t="str">
        <f t="shared" si="140"/>
        <v/>
      </c>
      <c r="K149" s="17"/>
      <c r="L149" s="4"/>
      <c r="M149" s="1" t="str">
        <f>IFERROR(INDEX(__key!$D:$D,MATCH(O149&amp;"|"&amp;SUBSTITUTE(H149,",",";"), __key!$E:$E, 0)), "")</f>
        <v/>
      </c>
      <c r="N149" s="1" t="str">
        <f>IFERROR(INDEX(__key!$D:$D,MATCH(O149&amp;"|"&amp;SUBSTITUTE(J149,",",";"), __key!$E:$E, 0)), "")</f>
        <v/>
      </c>
      <c r="O149" s="1" t="s">
        <v>51</v>
      </c>
      <c r="P149" s="1"/>
      <c r="Q149" s="1" t="s">
        <v>360</v>
      </c>
      <c r="R149" s="1">
        <v>4514</v>
      </c>
      <c r="S149" s="1">
        <f t="shared" si="141"/>
        <v>0</v>
      </c>
      <c r="T149" s="1">
        <f t="shared" si="141"/>
        <v>0</v>
      </c>
      <c r="U149" s="1">
        <f t="shared" si="142"/>
        <v>14.285714285714279</v>
      </c>
      <c r="V149" s="1">
        <f t="shared" si="143"/>
        <v>99.999999999999957</v>
      </c>
      <c r="W149" s="1">
        <f t="shared" si="144"/>
        <v>0.14285714285714285</v>
      </c>
      <c r="X149" s="1" t="str">
        <f t="shared" si="145"/>
        <v/>
      </c>
      <c r="Y149" s="1" t="b">
        <f t="shared" si="146"/>
        <v>0</v>
      </c>
      <c r="Z149" s="1" t="str">
        <f>IF(Y149, COUNTIF($Y$2:Y149, TRUE), "")</f>
        <v/>
      </c>
      <c r="AA149" s="1">
        <f t="shared" si="147"/>
        <v>14.285714285714279</v>
      </c>
      <c r="AB149" s="1">
        <f t="shared" si="148"/>
        <v>99.999999999999957</v>
      </c>
      <c r="AC149" s="1">
        <f t="shared" si="149"/>
        <v>0.14285714285714285</v>
      </c>
      <c r="AD149" s="1" t="str">
        <f t="shared" si="150"/>
        <v/>
      </c>
      <c r="AE149" s="1" t="b">
        <f t="shared" si="151"/>
        <v>0</v>
      </c>
      <c r="AF149" s="1" t="b">
        <f t="shared" si="152"/>
        <v>0</v>
      </c>
      <c r="AG149" s="1" t="str">
        <f>IF(AF149, COUNTIF($AF$2:AF149, TRUE), "")</f>
        <v/>
      </c>
    </row>
    <row r="150" spans="1:33" ht="30" hidden="1" outlineLevel="1" x14ac:dyDescent="0.25">
      <c r="A150" s="1" t="s">
        <v>355</v>
      </c>
      <c r="B150" s="1" t="s">
        <v>34</v>
      </c>
      <c r="C150" s="1" t="s">
        <v>356</v>
      </c>
      <c r="D150" s="1" t="s">
        <v>357</v>
      </c>
      <c r="E150" s="1" t="s">
        <v>367</v>
      </c>
      <c r="F150" s="4" t="s">
        <v>368</v>
      </c>
      <c r="G150" s="5">
        <v>14.285714285714279</v>
      </c>
      <c r="H150" s="16"/>
      <c r="I150" s="3"/>
      <c r="J150" s="16" t="str">
        <f t="shared" si="140"/>
        <v/>
      </c>
      <c r="K150" s="17"/>
      <c r="L150" s="4"/>
      <c r="M150" s="1" t="str">
        <f>IFERROR(INDEX(__key!$D:$D,MATCH(O150&amp;"|"&amp;SUBSTITUTE(H150,",",";"), __key!$E:$E, 0)), "")</f>
        <v/>
      </c>
      <c r="N150" s="1" t="str">
        <f>IFERROR(INDEX(__key!$D:$D,MATCH(O150&amp;"|"&amp;SUBSTITUTE(J150,",",";"), __key!$E:$E, 0)), "")</f>
        <v/>
      </c>
      <c r="O150" s="1" t="s">
        <v>51</v>
      </c>
      <c r="P150" s="1"/>
      <c r="Q150" s="1" t="s">
        <v>360</v>
      </c>
      <c r="R150" s="1">
        <v>4515</v>
      </c>
      <c r="S150" s="1">
        <f t="shared" si="141"/>
        <v>0</v>
      </c>
      <c r="T150" s="1">
        <f t="shared" si="141"/>
        <v>0</v>
      </c>
      <c r="U150" s="1">
        <f t="shared" si="142"/>
        <v>14.285714285714279</v>
      </c>
      <c r="V150" s="1">
        <f t="shared" si="143"/>
        <v>99.999999999999957</v>
      </c>
      <c r="W150" s="1">
        <f t="shared" si="144"/>
        <v>0.14285714285714285</v>
      </c>
      <c r="X150" s="1" t="str">
        <f t="shared" si="145"/>
        <v/>
      </c>
      <c r="Y150" s="1" t="b">
        <f t="shared" si="146"/>
        <v>0</v>
      </c>
      <c r="Z150" s="1" t="str">
        <f>IF(Y150, COUNTIF($Y$2:Y150, TRUE), "")</f>
        <v/>
      </c>
      <c r="AA150" s="1">
        <f t="shared" si="147"/>
        <v>14.285714285714279</v>
      </c>
      <c r="AB150" s="1">
        <f t="shared" si="148"/>
        <v>99.999999999999957</v>
      </c>
      <c r="AC150" s="1">
        <f t="shared" si="149"/>
        <v>0.14285714285714285</v>
      </c>
      <c r="AD150" s="1" t="str">
        <f t="shared" si="150"/>
        <v/>
      </c>
      <c r="AE150" s="1" t="b">
        <f t="shared" si="151"/>
        <v>0</v>
      </c>
      <c r="AF150" s="1" t="b">
        <f t="shared" si="152"/>
        <v>0</v>
      </c>
      <c r="AG150" s="1" t="str">
        <f>IF(AF150, COUNTIF($AF$2:AF150, TRUE), "")</f>
        <v/>
      </c>
    </row>
    <row r="151" spans="1:33" ht="45" hidden="1" outlineLevel="1" x14ac:dyDescent="0.25">
      <c r="A151" s="1" t="s">
        <v>355</v>
      </c>
      <c r="B151" s="1" t="s">
        <v>34</v>
      </c>
      <c r="C151" s="1" t="s">
        <v>356</v>
      </c>
      <c r="D151" s="1" t="s">
        <v>357</v>
      </c>
      <c r="E151" s="1" t="s">
        <v>369</v>
      </c>
      <c r="F151" s="4" t="s">
        <v>370</v>
      </c>
      <c r="G151" s="5">
        <v>14.285714285714279</v>
      </c>
      <c r="H151" s="16"/>
      <c r="I151" s="3"/>
      <c r="J151" s="16" t="str">
        <f t="shared" si="140"/>
        <v/>
      </c>
      <c r="K151" s="17"/>
      <c r="L151" s="4"/>
      <c r="M151" s="1" t="str">
        <f>IFERROR(INDEX(__key!$D:$D,MATCH(O151&amp;"|"&amp;SUBSTITUTE(H151,",",";"), __key!$E:$E, 0)), "")</f>
        <v/>
      </c>
      <c r="N151" s="1" t="str">
        <f>IFERROR(INDEX(__key!$D:$D,MATCH(O151&amp;"|"&amp;SUBSTITUTE(J151,",",";"), __key!$E:$E, 0)), "")</f>
        <v/>
      </c>
      <c r="O151" s="1" t="s">
        <v>51</v>
      </c>
      <c r="P151" s="1"/>
      <c r="Q151" s="1" t="s">
        <v>360</v>
      </c>
      <c r="R151" s="1">
        <v>4516</v>
      </c>
      <c r="S151" s="1">
        <f t="shared" si="141"/>
        <v>0</v>
      </c>
      <c r="T151" s="1">
        <f t="shared" si="141"/>
        <v>0</v>
      </c>
      <c r="U151" s="1">
        <f t="shared" si="142"/>
        <v>14.285714285714279</v>
      </c>
      <c r="V151" s="1">
        <f t="shared" si="143"/>
        <v>99.999999999999957</v>
      </c>
      <c r="W151" s="1">
        <f t="shared" si="144"/>
        <v>0.14285714285714285</v>
      </c>
      <c r="X151" s="1" t="str">
        <f t="shared" si="145"/>
        <v/>
      </c>
      <c r="Y151" s="1" t="b">
        <f t="shared" si="146"/>
        <v>0</v>
      </c>
      <c r="Z151" s="1" t="str">
        <f>IF(Y151, COUNTIF($Y$2:Y151, TRUE), "")</f>
        <v/>
      </c>
      <c r="AA151" s="1">
        <f t="shared" si="147"/>
        <v>14.285714285714279</v>
      </c>
      <c r="AB151" s="1">
        <f t="shared" si="148"/>
        <v>99.999999999999957</v>
      </c>
      <c r="AC151" s="1">
        <f t="shared" si="149"/>
        <v>0.14285714285714285</v>
      </c>
      <c r="AD151" s="1" t="str">
        <f t="shared" si="150"/>
        <v/>
      </c>
      <c r="AE151" s="1" t="b">
        <f t="shared" si="151"/>
        <v>0</v>
      </c>
      <c r="AF151" s="1" t="b">
        <f t="shared" si="152"/>
        <v>0</v>
      </c>
      <c r="AG151" s="1" t="str">
        <f>IF(AF151, COUNTIF($AF$2:AF151, TRUE), "")</f>
        <v/>
      </c>
    </row>
    <row r="152" spans="1:33" ht="30" hidden="1" outlineLevel="1" x14ac:dyDescent="0.25">
      <c r="A152" s="1" t="s">
        <v>355</v>
      </c>
      <c r="B152" s="1" t="s">
        <v>34</v>
      </c>
      <c r="C152" s="1" t="s">
        <v>356</v>
      </c>
      <c r="D152" s="1" t="s">
        <v>357</v>
      </c>
      <c r="E152" s="1" t="s">
        <v>371</v>
      </c>
      <c r="F152" s="4" t="s">
        <v>372</v>
      </c>
      <c r="G152" s="5">
        <v>14.285714285714279</v>
      </c>
      <c r="H152" s="16"/>
      <c r="I152" s="3"/>
      <c r="J152" s="16" t="str">
        <f t="shared" si="140"/>
        <v/>
      </c>
      <c r="K152" s="17"/>
      <c r="L152" s="4"/>
      <c r="M152" s="1" t="str">
        <f>IFERROR(INDEX(__key!$D:$D,MATCH(O152&amp;"|"&amp;SUBSTITUTE(H152,",",";"), __key!$E:$E, 0)), "")</f>
        <v/>
      </c>
      <c r="N152" s="1" t="str">
        <f>IFERROR(INDEX(__key!$D:$D,MATCH(O152&amp;"|"&amp;SUBSTITUTE(J152,",",";"), __key!$E:$E, 0)), "")</f>
        <v/>
      </c>
      <c r="O152" s="1" t="s">
        <v>51</v>
      </c>
      <c r="P152" s="1"/>
      <c r="Q152" s="1" t="s">
        <v>360</v>
      </c>
      <c r="R152" s="1">
        <v>4517</v>
      </c>
      <c r="S152" s="1">
        <f t="shared" si="141"/>
        <v>0</v>
      </c>
      <c r="T152" s="1">
        <f t="shared" si="141"/>
        <v>0</v>
      </c>
      <c r="U152" s="1">
        <f t="shared" si="142"/>
        <v>14.285714285714279</v>
      </c>
      <c r="V152" s="1">
        <f t="shared" si="143"/>
        <v>99.999999999999957</v>
      </c>
      <c r="W152" s="1">
        <f t="shared" si="144"/>
        <v>0.14285714285714285</v>
      </c>
      <c r="X152" s="1" t="str">
        <f t="shared" si="145"/>
        <v/>
      </c>
      <c r="Y152" s="1" t="b">
        <f t="shared" si="146"/>
        <v>0</v>
      </c>
      <c r="Z152" s="1" t="str">
        <f>IF(Y152, COUNTIF($Y$2:Y152, TRUE), "")</f>
        <v/>
      </c>
      <c r="AA152" s="1">
        <f t="shared" si="147"/>
        <v>14.285714285714279</v>
      </c>
      <c r="AB152" s="1">
        <f t="shared" si="148"/>
        <v>99.999999999999957</v>
      </c>
      <c r="AC152" s="1">
        <f t="shared" si="149"/>
        <v>0.14285714285714285</v>
      </c>
      <c r="AD152" s="1" t="str">
        <f t="shared" si="150"/>
        <v/>
      </c>
      <c r="AE152" s="1" t="b">
        <f t="shared" si="151"/>
        <v>0</v>
      </c>
      <c r="AF152" s="1" t="b">
        <f t="shared" si="152"/>
        <v>0</v>
      </c>
      <c r="AG152" s="1" t="str">
        <f>IF(AF152, COUNTIF($AF$2:AF152, TRUE), "")</f>
        <v/>
      </c>
    </row>
    <row r="153" spans="1:33" ht="30" customHeight="1" collapsed="1" x14ac:dyDescent="0.25">
      <c r="A153" s="1"/>
      <c r="B153" s="1"/>
      <c r="C153" s="1"/>
      <c r="D153" s="1"/>
      <c r="E153" s="1"/>
      <c r="F153" s="14" t="s">
        <v>373</v>
      </c>
      <c r="G153" s="15"/>
      <c r="H153" s="14"/>
      <c r="I153" s="14"/>
      <c r="J153" s="14"/>
      <c r="K153" s="14"/>
      <c r="L153" s="14"/>
      <c r="M153" s="1"/>
      <c r="N153" s="1"/>
      <c r="O153" s="1"/>
      <c r="P153" s="1"/>
      <c r="Q153" s="1"/>
      <c r="R153" s="1"/>
      <c r="S153" s="1"/>
      <c r="T153" s="1"/>
      <c r="U153" s="1"/>
      <c r="V153" s="1"/>
      <c r="W153" s="1"/>
      <c r="X153" s="1"/>
      <c r="Y153" s="1"/>
      <c r="Z153" s="1"/>
      <c r="AA153" s="1"/>
      <c r="AB153" s="1"/>
      <c r="AC153" s="1"/>
      <c r="AD153" s="1"/>
      <c r="AE153" s="1"/>
      <c r="AF153" s="1"/>
      <c r="AG153" s="1"/>
    </row>
    <row r="154" spans="1:33" ht="45" hidden="1" outlineLevel="1" x14ac:dyDescent="0.25">
      <c r="A154" s="1" t="s">
        <v>373</v>
      </c>
      <c r="B154" s="1" t="s">
        <v>34</v>
      </c>
      <c r="C154" s="1" t="s">
        <v>374</v>
      </c>
      <c r="D154" s="1" t="s">
        <v>375</v>
      </c>
      <c r="E154" s="1" t="s">
        <v>376</v>
      </c>
      <c r="F154" s="4" t="s">
        <v>377</v>
      </c>
      <c r="G154" s="5">
        <v>20</v>
      </c>
      <c r="H154" s="16"/>
      <c r="I154" s="3"/>
      <c r="J154" s="16" t="str">
        <f>IF(H154="","",H154)</f>
        <v/>
      </c>
      <c r="K154" s="17"/>
      <c r="L154" s="4" t="s">
        <v>378</v>
      </c>
      <c r="M154" s="1" t="str">
        <f>IFERROR(INDEX(__key!$D:$D,MATCH(O154&amp;"|"&amp;SUBSTITUTE(H154,",",";"), __key!$E:$E, 0)), "")</f>
        <v/>
      </c>
      <c r="N154" s="1" t="str">
        <f>IFERROR(INDEX(__key!$D:$D,MATCH(O154&amp;"|"&amp;SUBSTITUTE(J154,",",";"), __key!$E:$E, 0)), "")</f>
        <v/>
      </c>
      <c r="O154" s="1" t="s">
        <v>51</v>
      </c>
      <c r="P154" s="1"/>
      <c r="Q154" s="1" t="s">
        <v>379</v>
      </c>
      <c r="R154" s="1">
        <v>4611</v>
      </c>
      <c r="S154" s="1">
        <f t="shared" ref="S154:T158" si="153">IFERROR(1*M154,0)</f>
        <v>0</v>
      </c>
      <c r="T154" s="1">
        <f t="shared" si="153"/>
        <v>0</v>
      </c>
      <c r="U154" s="1">
        <f>IFERROR(IF(ISNUMBER(SEARCH("Not Relevant",H154)),0,VALUE(G154)),"")</f>
        <v>20</v>
      </c>
      <c r="V154" s="1">
        <f>IFERROR(SUMIF($D:$D,D154,$U:$U),"")</f>
        <v>100</v>
      </c>
      <c r="W154" s="1">
        <f>IF(OR(V154=0,V154=""),"",U154/V154)</f>
        <v>0.2</v>
      </c>
      <c r="X154" s="1" t="str">
        <f>IF(OR(M154="",W154=""),"",VALUE(M154)*W154)</f>
        <v/>
      </c>
      <c r="Y154" s="1" t="b">
        <f>IFERROR(ISNUMBER(SEARCH("Not Relevant",H154)),FALSE)</f>
        <v>0</v>
      </c>
      <c r="Z154" s="1" t="str">
        <f>IF(Y154, COUNTIF($Y$2:Y154, TRUE), "")</f>
        <v/>
      </c>
      <c r="AA154" s="1">
        <f>IFERROR(IF(ISNUMBER(SEARCH("Not Relevant",J154)),0,VALUE(G154)),"")</f>
        <v>20</v>
      </c>
      <c r="AB154" s="1">
        <f>IFERROR(SUMIF($D:$D,D154,$AA:$AA),"")</f>
        <v>100</v>
      </c>
      <c r="AC154" s="1">
        <f>IF(OR(AB154=0,AB154=""),"",AA154/AB154)</f>
        <v>0.2</v>
      </c>
      <c r="AD154" s="1" t="str">
        <f>IF(OR(N154="",AC154=""),"",VALUE(N154)*AC154)</f>
        <v/>
      </c>
      <c r="AE154" s="1" t="b">
        <f>IFERROR(ISNUMBER(SEARCH("Not Relevant",J154)),FALSE)</f>
        <v>0</v>
      </c>
      <c r="AF154" s="1" t="b">
        <f>IF(OR(H154="",J154=""),FALSE,IF(H154&lt;&gt;J154,TRUE,FALSE))</f>
        <v>0</v>
      </c>
      <c r="AG154" s="1" t="str">
        <f>IF(AF154, COUNTIF($AF$2:AF154, TRUE), "")</f>
        <v/>
      </c>
    </row>
    <row r="155" spans="1:33" ht="30" hidden="1" outlineLevel="1" x14ac:dyDescent="0.25">
      <c r="A155" s="1" t="s">
        <v>373</v>
      </c>
      <c r="B155" s="1" t="s">
        <v>34</v>
      </c>
      <c r="C155" s="1" t="s">
        <v>374</v>
      </c>
      <c r="D155" s="1" t="s">
        <v>375</v>
      </c>
      <c r="E155" s="1" t="s">
        <v>380</v>
      </c>
      <c r="F155" s="4" t="s">
        <v>381</v>
      </c>
      <c r="G155" s="5">
        <v>20</v>
      </c>
      <c r="H155" s="16"/>
      <c r="I155" s="3"/>
      <c r="J155" s="16" t="str">
        <f>IF(H155="","",H155)</f>
        <v/>
      </c>
      <c r="K155" s="17"/>
      <c r="L155" s="4" t="s">
        <v>378</v>
      </c>
      <c r="M155" s="1" t="str">
        <f>IFERROR(INDEX(__key!$D:$D,MATCH(O155&amp;"|"&amp;SUBSTITUTE(H155,",",";"), __key!$E:$E, 0)), "")</f>
        <v/>
      </c>
      <c r="N155" s="1" t="str">
        <f>IFERROR(INDEX(__key!$D:$D,MATCH(O155&amp;"|"&amp;SUBSTITUTE(J155,",",";"), __key!$E:$E, 0)), "")</f>
        <v/>
      </c>
      <c r="O155" s="1" t="s">
        <v>51</v>
      </c>
      <c r="P155" s="1"/>
      <c r="Q155" s="1" t="s">
        <v>379</v>
      </c>
      <c r="R155" s="1">
        <v>4612</v>
      </c>
      <c r="S155" s="1">
        <f t="shared" si="153"/>
        <v>0</v>
      </c>
      <c r="T155" s="1">
        <f t="shared" si="153"/>
        <v>0</v>
      </c>
      <c r="U155" s="1">
        <f>IFERROR(IF(ISNUMBER(SEARCH("Not Relevant",H155)),0,VALUE(G155)),"")</f>
        <v>20</v>
      </c>
      <c r="V155" s="1">
        <f>IFERROR(SUMIF($D:$D,D155,$U:$U),"")</f>
        <v>100</v>
      </c>
      <c r="W155" s="1">
        <f>IF(OR(V155=0,V155=""),"",U155/V155)</f>
        <v>0.2</v>
      </c>
      <c r="X155" s="1" t="str">
        <f>IF(OR(M155="",W155=""),"",VALUE(M155)*W155)</f>
        <v/>
      </c>
      <c r="Y155" s="1" t="b">
        <f>IFERROR(ISNUMBER(SEARCH("Not Relevant",H155)),FALSE)</f>
        <v>0</v>
      </c>
      <c r="Z155" s="1" t="str">
        <f>IF(Y155, COUNTIF($Y$2:Y155, TRUE), "")</f>
        <v/>
      </c>
      <c r="AA155" s="1">
        <f>IFERROR(IF(ISNUMBER(SEARCH("Not Relevant",J155)),0,VALUE(G155)),"")</f>
        <v>20</v>
      </c>
      <c r="AB155" s="1">
        <f>IFERROR(SUMIF($D:$D,D155,$AA:$AA),"")</f>
        <v>100</v>
      </c>
      <c r="AC155" s="1">
        <f>IF(OR(AB155=0,AB155=""),"",AA155/AB155)</f>
        <v>0.2</v>
      </c>
      <c r="AD155" s="1" t="str">
        <f>IF(OR(N155="",AC155=""),"",VALUE(N155)*AC155)</f>
        <v/>
      </c>
      <c r="AE155" s="1" t="b">
        <f>IFERROR(ISNUMBER(SEARCH("Not Relevant",J155)),FALSE)</f>
        <v>0</v>
      </c>
      <c r="AF155" s="1" t="b">
        <f>IF(OR(H155="",J155=""),FALSE,IF(H155&lt;&gt;J155,TRUE,FALSE))</f>
        <v>0</v>
      </c>
      <c r="AG155" s="1" t="str">
        <f>IF(AF155, COUNTIF($AF$2:AF155, TRUE), "")</f>
        <v/>
      </c>
    </row>
    <row r="156" spans="1:33" ht="30" hidden="1" outlineLevel="1" x14ac:dyDescent="0.25">
      <c r="A156" s="1" t="s">
        <v>373</v>
      </c>
      <c r="B156" s="1" t="s">
        <v>34</v>
      </c>
      <c r="C156" s="1" t="s">
        <v>374</v>
      </c>
      <c r="D156" s="1" t="s">
        <v>375</v>
      </c>
      <c r="E156" s="1" t="s">
        <v>382</v>
      </c>
      <c r="F156" s="4" t="s">
        <v>383</v>
      </c>
      <c r="G156" s="5">
        <v>20</v>
      </c>
      <c r="H156" s="16"/>
      <c r="I156" s="3"/>
      <c r="J156" s="16" t="str">
        <f>IF(H156="","",H156)</f>
        <v/>
      </c>
      <c r="K156" s="17"/>
      <c r="L156" s="4"/>
      <c r="M156" s="1" t="str">
        <f>IFERROR(INDEX(__key!$D:$D,MATCH(O156&amp;"|"&amp;SUBSTITUTE(H156,",",";"), __key!$E:$E, 0)), "")</f>
        <v/>
      </c>
      <c r="N156" s="1" t="str">
        <f>IFERROR(INDEX(__key!$D:$D,MATCH(O156&amp;"|"&amp;SUBSTITUTE(J156,",",";"), __key!$E:$E, 0)), "")</f>
        <v/>
      </c>
      <c r="O156" s="1" t="s">
        <v>384</v>
      </c>
      <c r="P156" s="1"/>
      <c r="Q156" s="1" t="s">
        <v>379</v>
      </c>
      <c r="R156" s="1">
        <v>4613</v>
      </c>
      <c r="S156" s="1">
        <f t="shared" si="153"/>
        <v>0</v>
      </c>
      <c r="T156" s="1">
        <f t="shared" si="153"/>
        <v>0</v>
      </c>
      <c r="U156" s="1">
        <f>IFERROR(IF(ISNUMBER(SEARCH("Not Relevant",H156)),0,VALUE(G156)),"")</f>
        <v>20</v>
      </c>
      <c r="V156" s="1">
        <f>IFERROR(SUMIF($D:$D,D156,$U:$U),"")</f>
        <v>100</v>
      </c>
      <c r="W156" s="1">
        <f>IF(OR(V156=0,V156=""),"",U156/V156)</f>
        <v>0.2</v>
      </c>
      <c r="X156" s="1" t="str">
        <f>IF(OR(M156="",W156=""),"",VALUE(M156)*W156)</f>
        <v/>
      </c>
      <c r="Y156" s="1" t="b">
        <f>IFERROR(ISNUMBER(SEARCH("Not Relevant",H156)),FALSE)</f>
        <v>0</v>
      </c>
      <c r="Z156" s="1" t="str">
        <f>IF(Y156, COUNTIF($Y$2:Y156, TRUE), "")</f>
        <v/>
      </c>
      <c r="AA156" s="1">
        <f>IFERROR(IF(ISNUMBER(SEARCH("Not Relevant",J156)),0,VALUE(G156)),"")</f>
        <v>20</v>
      </c>
      <c r="AB156" s="1">
        <f>IFERROR(SUMIF($D:$D,D156,$AA:$AA),"")</f>
        <v>100</v>
      </c>
      <c r="AC156" s="1">
        <f>IF(OR(AB156=0,AB156=""),"",AA156/AB156)</f>
        <v>0.2</v>
      </c>
      <c r="AD156" s="1" t="str">
        <f>IF(OR(N156="",AC156=""),"",VALUE(N156)*AC156)</f>
        <v/>
      </c>
      <c r="AE156" s="1" t="b">
        <f>IFERROR(ISNUMBER(SEARCH("Not Relevant",J156)),FALSE)</f>
        <v>0</v>
      </c>
      <c r="AF156" s="1" t="b">
        <f>IF(OR(H156="",J156=""),FALSE,IF(H156&lt;&gt;J156,TRUE,FALSE))</f>
        <v>0</v>
      </c>
      <c r="AG156" s="1" t="str">
        <f>IF(AF156, COUNTIF($AF$2:AF156, TRUE), "")</f>
        <v/>
      </c>
    </row>
    <row r="157" spans="1:33" ht="30" hidden="1" outlineLevel="1" x14ac:dyDescent="0.25">
      <c r="A157" s="1" t="s">
        <v>373</v>
      </c>
      <c r="B157" s="1" t="s">
        <v>34</v>
      </c>
      <c r="C157" s="1" t="s">
        <v>374</v>
      </c>
      <c r="D157" s="1" t="s">
        <v>375</v>
      </c>
      <c r="E157" s="1" t="s">
        <v>385</v>
      </c>
      <c r="F157" s="4" t="s">
        <v>386</v>
      </c>
      <c r="G157" s="5">
        <v>20</v>
      </c>
      <c r="H157" s="16"/>
      <c r="I157" s="3"/>
      <c r="J157" s="16" t="str">
        <f>IF(H157="","",H157)</f>
        <v/>
      </c>
      <c r="K157" s="17"/>
      <c r="L157" s="4"/>
      <c r="M157" s="1" t="str">
        <f>IFERROR(INDEX(__key!$D:$D,MATCH(O157&amp;"|"&amp;SUBSTITUTE(H157,",",";"), __key!$E:$E, 0)), "")</f>
        <v/>
      </c>
      <c r="N157" s="1" t="str">
        <f>IFERROR(INDEX(__key!$D:$D,MATCH(O157&amp;"|"&amp;SUBSTITUTE(J157,",",";"), __key!$E:$E, 0)), "")</f>
        <v/>
      </c>
      <c r="O157" s="1" t="s">
        <v>51</v>
      </c>
      <c r="P157" s="1"/>
      <c r="Q157" s="1" t="s">
        <v>379</v>
      </c>
      <c r="R157" s="1">
        <v>4614</v>
      </c>
      <c r="S157" s="1">
        <f t="shared" si="153"/>
        <v>0</v>
      </c>
      <c r="T157" s="1">
        <f t="shared" si="153"/>
        <v>0</v>
      </c>
      <c r="U157" s="1">
        <f>IFERROR(IF(ISNUMBER(SEARCH("Not Relevant",H157)),0,VALUE(G157)),"")</f>
        <v>20</v>
      </c>
      <c r="V157" s="1">
        <f>IFERROR(SUMIF($D:$D,D157,$U:$U),"")</f>
        <v>100</v>
      </c>
      <c r="W157" s="1">
        <f>IF(OR(V157=0,V157=""),"",U157/V157)</f>
        <v>0.2</v>
      </c>
      <c r="X157" s="1" t="str">
        <f>IF(OR(M157="",W157=""),"",VALUE(M157)*W157)</f>
        <v/>
      </c>
      <c r="Y157" s="1" t="b">
        <f>IFERROR(ISNUMBER(SEARCH("Not Relevant",H157)),FALSE)</f>
        <v>0</v>
      </c>
      <c r="Z157" s="1" t="str">
        <f>IF(Y157, COUNTIF($Y$2:Y157, TRUE), "")</f>
        <v/>
      </c>
      <c r="AA157" s="1">
        <f>IFERROR(IF(ISNUMBER(SEARCH("Not Relevant",J157)),0,VALUE(G157)),"")</f>
        <v>20</v>
      </c>
      <c r="AB157" s="1">
        <f>IFERROR(SUMIF($D:$D,D157,$AA:$AA),"")</f>
        <v>100</v>
      </c>
      <c r="AC157" s="1">
        <f>IF(OR(AB157=0,AB157=""),"",AA157/AB157)</f>
        <v>0.2</v>
      </c>
      <c r="AD157" s="1" t="str">
        <f>IF(OR(N157="",AC157=""),"",VALUE(N157)*AC157)</f>
        <v/>
      </c>
      <c r="AE157" s="1" t="b">
        <f>IFERROR(ISNUMBER(SEARCH("Not Relevant",J157)),FALSE)</f>
        <v>0</v>
      </c>
      <c r="AF157" s="1" t="b">
        <f>IF(OR(H157="",J157=""),FALSE,IF(H157&lt;&gt;J157,TRUE,FALSE))</f>
        <v>0</v>
      </c>
      <c r="AG157" s="1" t="str">
        <f>IF(AF157, COUNTIF($AF$2:AF157, TRUE), "")</f>
        <v/>
      </c>
    </row>
    <row r="158" spans="1:33" ht="90" hidden="1" outlineLevel="1" x14ac:dyDescent="0.25">
      <c r="A158" s="1" t="s">
        <v>373</v>
      </c>
      <c r="B158" s="1" t="s">
        <v>34</v>
      </c>
      <c r="C158" s="1" t="s">
        <v>374</v>
      </c>
      <c r="D158" s="1" t="s">
        <v>375</v>
      </c>
      <c r="E158" s="1" t="s">
        <v>387</v>
      </c>
      <c r="F158" s="4" t="s">
        <v>388</v>
      </c>
      <c r="G158" s="5">
        <v>20</v>
      </c>
      <c r="H158" s="16"/>
      <c r="I158" s="3"/>
      <c r="J158" s="16" t="str">
        <f>IF(H158="","",H158)</f>
        <v/>
      </c>
      <c r="K158" s="17"/>
      <c r="L158" s="4"/>
      <c r="M158" s="1" t="str">
        <f>IFERROR(INDEX(__key!$D:$D,MATCH(O158&amp;"|"&amp;SUBSTITUTE(H158,",",";"), __key!$E:$E, 0)), "")</f>
        <v/>
      </c>
      <c r="N158" s="1" t="str">
        <f>IFERROR(INDEX(__key!$D:$D,MATCH(O158&amp;"|"&amp;SUBSTITUTE(J158,",",";"), __key!$E:$E, 0)), "")</f>
        <v/>
      </c>
      <c r="O158" s="1" t="s">
        <v>51</v>
      </c>
      <c r="P158" s="1"/>
      <c r="Q158" s="1" t="s">
        <v>379</v>
      </c>
      <c r="R158" s="1">
        <v>4615</v>
      </c>
      <c r="S158" s="1">
        <f t="shared" si="153"/>
        <v>0</v>
      </c>
      <c r="T158" s="1">
        <f t="shared" si="153"/>
        <v>0</v>
      </c>
      <c r="U158" s="1">
        <f>IFERROR(IF(ISNUMBER(SEARCH("Not Relevant",H158)),0,VALUE(G158)),"")</f>
        <v>20</v>
      </c>
      <c r="V158" s="1">
        <f>IFERROR(SUMIF($D:$D,D158,$U:$U),"")</f>
        <v>100</v>
      </c>
      <c r="W158" s="1">
        <f>IF(OR(V158=0,V158=""),"",U158/V158)</f>
        <v>0.2</v>
      </c>
      <c r="X158" s="1" t="str">
        <f>IF(OR(M158="",W158=""),"",VALUE(M158)*W158)</f>
        <v/>
      </c>
      <c r="Y158" s="1" t="b">
        <f>IFERROR(ISNUMBER(SEARCH("Not Relevant",H158)),FALSE)</f>
        <v>0</v>
      </c>
      <c r="Z158" s="1" t="str">
        <f>IF(Y158, COUNTIF($Y$2:Y158, TRUE), "")</f>
        <v/>
      </c>
      <c r="AA158" s="1">
        <f>IFERROR(IF(ISNUMBER(SEARCH("Not Relevant",J158)),0,VALUE(G158)),"")</f>
        <v>20</v>
      </c>
      <c r="AB158" s="1">
        <f>IFERROR(SUMIF($D:$D,D158,$AA:$AA),"")</f>
        <v>100</v>
      </c>
      <c r="AC158" s="1">
        <f>IF(OR(AB158=0,AB158=""),"",AA158/AB158)</f>
        <v>0.2</v>
      </c>
      <c r="AD158" s="1" t="str">
        <f>IF(OR(N158="",AC158=""),"",VALUE(N158)*AC158)</f>
        <v/>
      </c>
      <c r="AE158" s="1" t="b">
        <f>IFERROR(ISNUMBER(SEARCH("Not Relevant",J158)),FALSE)</f>
        <v>0</v>
      </c>
      <c r="AF158" s="1" t="b">
        <f>IF(OR(H158="",J158=""),FALSE,IF(H158&lt;&gt;J158,TRUE,FALSE))</f>
        <v>0</v>
      </c>
      <c r="AG158" s="1" t="str">
        <f>IF(AF158, COUNTIF($AF$2:AF158, TRUE), "")</f>
        <v/>
      </c>
    </row>
    <row r="159" spans="1:33" ht="30" customHeight="1" collapsed="1" x14ac:dyDescent="0.25">
      <c r="A159" s="1"/>
      <c r="B159" s="1"/>
      <c r="C159" s="1"/>
      <c r="D159" s="1"/>
      <c r="E159" s="1"/>
      <c r="F159" s="14" t="s">
        <v>389</v>
      </c>
      <c r="G159" s="15"/>
      <c r="H159" s="14"/>
      <c r="I159" s="14"/>
      <c r="J159" s="14"/>
      <c r="K159" s="14"/>
      <c r="L159" s="14"/>
      <c r="M159" s="1"/>
      <c r="N159" s="1"/>
      <c r="O159" s="1"/>
      <c r="P159" s="1"/>
      <c r="Q159" s="1"/>
      <c r="R159" s="1"/>
      <c r="S159" s="1"/>
      <c r="T159" s="1"/>
      <c r="U159" s="1"/>
      <c r="V159" s="1"/>
      <c r="W159" s="1"/>
      <c r="X159" s="1"/>
      <c r="Y159" s="1"/>
      <c r="Z159" s="1"/>
      <c r="AA159" s="1"/>
      <c r="AB159" s="1"/>
      <c r="AC159" s="1"/>
      <c r="AD159" s="1"/>
      <c r="AE159" s="1"/>
      <c r="AF159" s="1"/>
      <c r="AG159" s="1"/>
    </row>
    <row r="160" spans="1:33" ht="30" hidden="1" outlineLevel="1" x14ac:dyDescent="0.25">
      <c r="A160" s="1" t="s">
        <v>389</v>
      </c>
      <c r="B160" s="1" t="s">
        <v>34</v>
      </c>
      <c r="C160" s="1" t="s">
        <v>374</v>
      </c>
      <c r="D160" s="1" t="s">
        <v>390</v>
      </c>
      <c r="E160" s="1" t="s">
        <v>391</v>
      </c>
      <c r="F160" s="4" t="s">
        <v>392</v>
      </c>
      <c r="G160" s="5">
        <v>33.333333333333343</v>
      </c>
      <c r="H160" s="16"/>
      <c r="I160" s="3"/>
      <c r="J160" s="16" t="str">
        <f>IF(H160="","",H160)</f>
        <v/>
      </c>
      <c r="K160" s="17"/>
      <c r="L160" s="4" t="s">
        <v>393</v>
      </c>
      <c r="M160" s="1" t="str">
        <f>IFERROR(INDEX(__key!$D:$D,MATCH(O160&amp;"|"&amp;SUBSTITUTE(H160,",",";"), __key!$E:$E, 0)), "")</f>
        <v/>
      </c>
      <c r="N160" s="1" t="str">
        <f>IFERROR(INDEX(__key!$D:$D,MATCH(O160&amp;"|"&amp;SUBSTITUTE(J160,",",";"), __key!$E:$E, 0)), "")</f>
        <v/>
      </c>
      <c r="O160" s="1" t="s">
        <v>51</v>
      </c>
      <c r="P160" s="1"/>
      <c r="Q160" s="1" t="s">
        <v>379</v>
      </c>
      <c r="R160" s="1">
        <v>4621</v>
      </c>
      <c r="S160" s="1">
        <f t="shared" ref="S160:T162" si="154">IFERROR(1*M160,0)</f>
        <v>0</v>
      </c>
      <c r="T160" s="1">
        <f t="shared" si="154"/>
        <v>0</v>
      </c>
      <c r="U160" s="1">
        <f>IFERROR(IF(ISNUMBER(SEARCH("Not Relevant",H160)),0,VALUE(G160)),"")</f>
        <v>33.333333333333343</v>
      </c>
      <c r="V160" s="1">
        <f>IFERROR(SUMIF($D:$D,D160,$U:$U),"")</f>
        <v>100.00000000000003</v>
      </c>
      <c r="W160" s="1">
        <f>IF(OR(V160=0,V160=""),"",U160/V160)</f>
        <v>0.33333333333333331</v>
      </c>
      <c r="X160" s="1" t="str">
        <f>IF(OR(M160="",W160=""),"",VALUE(M160)*W160)</f>
        <v/>
      </c>
      <c r="Y160" s="1" t="b">
        <f>IFERROR(ISNUMBER(SEARCH("Not Relevant",H160)),FALSE)</f>
        <v>0</v>
      </c>
      <c r="Z160" s="1" t="str">
        <f>IF(Y160, COUNTIF($Y$2:Y160, TRUE), "")</f>
        <v/>
      </c>
      <c r="AA160" s="1">
        <f>IFERROR(IF(ISNUMBER(SEARCH("Not Relevant",J160)),0,VALUE(G160)),"")</f>
        <v>33.333333333333343</v>
      </c>
      <c r="AB160" s="1">
        <f>IFERROR(SUMIF($D:$D,D160,$AA:$AA),"")</f>
        <v>100.00000000000003</v>
      </c>
      <c r="AC160" s="1">
        <f>IF(OR(AB160=0,AB160=""),"",AA160/AB160)</f>
        <v>0.33333333333333331</v>
      </c>
      <c r="AD160" s="1" t="str">
        <f>IF(OR(N160="",AC160=""),"",VALUE(N160)*AC160)</f>
        <v/>
      </c>
      <c r="AE160" s="1" t="b">
        <f>IFERROR(ISNUMBER(SEARCH("Not Relevant",J160)),FALSE)</f>
        <v>0</v>
      </c>
      <c r="AF160" s="1" t="b">
        <f>IF(OR(H160="",J160=""),FALSE,IF(H160&lt;&gt;J160,TRUE,FALSE))</f>
        <v>0</v>
      </c>
      <c r="AG160" s="1" t="str">
        <f>IF(AF160, COUNTIF($AF$2:AF160, TRUE), "")</f>
        <v/>
      </c>
    </row>
    <row r="161" spans="1:33" ht="45" hidden="1" outlineLevel="1" x14ac:dyDescent="0.25">
      <c r="A161" s="1" t="s">
        <v>389</v>
      </c>
      <c r="B161" s="1" t="s">
        <v>34</v>
      </c>
      <c r="C161" s="1" t="s">
        <v>374</v>
      </c>
      <c r="D161" s="1" t="s">
        <v>390</v>
      </c>
      <c r="E161" s="1" t="s">
        <v>394</v>
      </c>
      <c r="F161" s="4" t="s">
        <v>395</v>
      </c>
      <c r="G161" s="5">
        <v>33.333333333333343</v>
      </c>
      <c r="H161" s="16"/>
      <c r="I161" s="3"/>
      <c r="J161" s="16" t="str">
        <f>IF(H161="","",H161)</f>
        <v/>
      </c>
      <c r="K161" s="17"/>
      <c r="L161" s="4" t="s">
        <v>393</v>
      </c>
      <c r="M161" s="1" t="str">
        <f>IFERROR(INDEX(__key!$D:$D,MATCH(O161&amp;"|"&amp;SUBSTITUTE(H161,",",";"), __key!$E:$E, 0)), "")</f>
        <v/>
      </c>
      <c r="N161" s="1" t="str">
        <f>IFERROR(INDEX(__key!$D:$D,MATCH(O161&amp;"|"&amp;SUBSTITUTE(J161,",",";"), __key!$E:$E, 0)), "")</f>
        <v/>
      </c>
      <c r="O161" s="1" t="s">
        <v>51</v>
      </c>
      <c r="P161" s="1"/>
      <c r="Q161" s="1" t="s">
        <v>379</v>
      </c>
      <c r="R161" s="1">
        <v>4622</v>
      </c>
      <c r="S161" s="1">
        <f t="shared" si="154"/>
        <v>0</v>
      </c>
      <c r="T161" s="1">
        <f t="shared" si="154"/>
        <v>0</v>
      </c>
      <c r="U161" s="1">
        <f>IFERROR(IF(ISNUMBER(SEARCH("Not Relevant",H161)),0,VALUE(G161)),"")</f>
        <v>33.333333333333343</v>
      </c>
      <c r="V161" s="1">
        <f>IFERROR(SUMIF($D:$D,D161,$U:$U),"")</f>
        <v>100.00000000000003</v>
      </c>
      <c r="W161" s="1">
        <f>IF(OR(V161=0,V161=""),"",U161/V161)</f>
        <v>0.33333333333333331</v>
      </c>
      <c r="X161" s="1" t="str">
        <f>IF(OR(M161="",W161=""),"",VALUE(M161)*W161)</f>
        <v/>
      </c>
      <c r="Y161" s="1" t="b">
        <f>IFERROR(ISNUMBER(SEARCH("Not Relevant",H161)),FALSE)</f>
        <v>0</v>
      </c>
      <c r="Z161" s="1" t="str">
        <f>IF(Y161, COUNTIF($Y$2:Y161, TRUE), "")</f>
        <v/>
      </c>
      <c r="AA161" s="1">
        <f>IFERROR(IF(ISNUMBER(SEARCH("Not Relevant",J161)),0,VALUE(G161)),"")</f>
        <v>33.333333333333343</v>
      </c>
      <c r="AB161" s="1">
        <f>IFERROR(SUMIF($D:$D,D161,$AA:$AA),"")</f>
        <v>100.00000000000003</v>
      </c>
      <c r="AC161" s="1">
        <f>IF(OR(AB161=0,AB161=""),"",AA161/AB161)</f>
        <v>0.33333333333333331</v>
      </c>
      <c r="AD161" s="1" t="str">
        <f>IF(OR(N161="",AC161=""),"",VALUE(N161)*AC161)</f>
        <v/>
      </c>
      <c r="AE161" s="1" t="b">
        <f>IFERROR(ISNUMBER(SEARCH("Not Relevant",J161)),FALSE)</f>
        <v>0</v>
      </c>
      <c r="AF161" s="1" t="b">
        <f>IF(OR(H161="",J161=""),FALSE,IF(H161&lt;&gt;J161,TRUE,FALSE))</f>
        <v>0</v>
      </c>
      <c r="AG161" s="1" t="str">
        <f>IF(AF161, COUNTIF($AF$2:AF161, TRUE), "")</f>
        <v/>
      </c>
    </row>
    <row r="162" spans="1:33" ht="75" hidden="1" outlineLevel="1" x14ac:dyDescent="0.25">
      <c r="A162" s="1" t="s">
        <v>389</v>
      </c>
      <c r="B162" s="1" t="s">
        <v>34</v>
      </c>
      <c r="C162" s="1" t="s">
        <v>374</v>
      </c>
      <c r="D162" s="1" t="s">
        <v>390</v>
      </c>
      <c r="E162" s="1" t="s">
        <v>396</v>
      </c>
      <c r="F162" s="4" t="s">
        <v>397</v>
      </c>
      <c r="G162" s="5">
        <v>33.333333333333343</v>
      </c>
      <c r="H162" s="16"/>
      <c r="I162" s="3"/>
      <c r="J162" s="16" t="str">
        <f>IF(H162="","",H162)</f>
        <v/>
      </c>
      <c r="K162" s="17"/>
      <c r="L162" s="4" t="s">
        <v>393</v>
      </c>
      <c r="M162" s="1" t="str">
        <f>IFERROR(INDEX(__key!$D:$D,MATCH(O162&amp;"|"&amp;SUBSTITUTE(H162,",",";"), __key!$E:$E, 0)), "")</f>
        <v/>
      </c>
      <c r="N162" s="1" t="str">
        <f>IFERROR(INDEX(__key!$D:$D,MATCH(O162&amp;"|"&amp;SUBSTITUTE(J162,",",";"), __key!$E:$E, 0)), "")</f>
        <v/>
      </c>
      <c r="O162" s="1" t="s">
        <v>51</v>
      </c>
      <c r="P162" s="1"/>
      <c r="Q162" s="1" t="s">
        <v>379</v>
      </c>
      <c r="R162" s="1">
        <v>4623</v>
      </c>
      <c r="S162" s="1">
        <f t="shared" si="154"/>
        <v>0</v>
      </c>
      <c r="T162" s="1">
        <f t="shared" si="154"/>
        <v>0</v>
      </c>
      <c r="U162" s="1">
        <f>IFERROR(IF(ISNUMBER(SEARCH("Not Relevant",H162)),0,VALUE(G162)),"")</f>
        <v>33.333333333333343</v>
      </c>
      <c r="V162" s="1">
        <f>IFERROR(SUMIF($D:$D,D162,$U:$U),"")</f>
        <v>100.00000000000003</v>
      </c>
      <c r="W162" s="1">
        <f>IF(OR(V162=0,V162=""),"",U162/V162)</f>
        <v>0.33333333333333331</v>
      </c>
      <c r="X162" s="1" t="str">
        <f>IF(OR(M162="",W162=""),"",VALUE(M162)*W162)</f>
        <v/>
      </c>
      <c r="Y162" s="1" t="b">
        <f>IFERROR(ISNUMBER(SEARCH("Not Relevant",H162)),FALSE)</f>
        <v>0</v>
      </c>
      <c r="Z162" s="1" t="str">
        <f>IF(Y162, COUNTIF($Y$2:Y162, TRUE), "")</f>
        <v/>
      </c>
      <c r="AA162" s="1">
        <f>IFERROR(IF(ISNUMBER(SEARCH("Not Relevant",J162)),0,VALUE(G162)),"")</f>
        <v>33.333333333333343</v>
      </c>
      <c r="AB162" s="1">
        <f>IFERROR(SUMIF($D:$D,D162,$AA:$AA),"")</f>
        <v>100.00000000000003</v>
      </c>
      <c r="AC162" s="1">
        <f>IF(OR(AB162=0,AB162=""),"",AA162/AB162)</f>
        <v>0.33333333333333331</v>
      </c>
      <c r="AD162" s="1" t="str">
        <f>IF(OR(N162="",AC162=""),"",VALUE(N162)*AC162)</f>
        <v/>
      </c>
      <c r="AE162" s="1" t="b">
        <f>IFERROR(ISNUMBER(SEARCH("Not Relevant",J162)),FALSE)</f>
        <v>0</v>
      </c>
      <c r="AF162" s="1" t="b">
        <f>IF(OR(H162="",J162=""),FALSE,IF(H162&lt;&gt;J162,TRUE,FALSE))</f>
        <v>0</v>
      </c>
      <c r="AG162" s="1" t="str">
        <f>IF(AF162, COUNTIF($AF$2:AF162, TRUE), "")</f>
        <v/>
      </c>
    </row>
    <row r="163" spans="1:33" ht="30" customHeight="1" collapsed="1" x14ac:dyDescent="0.25">
      <c r="A163" s="1"/>
      <c r="B163" s="1"/>
      <c r="C163" s="1"/>
      <c r="D163" s="1"/>
      <c r="E163" s="1"/>
      <c r="F163" s="14" t="s">
        <v>398</v>
      </c>
      <c r="G163" s="15"/>
      <c r="H163" s="14"/>
      <c r="I163" s="14"/>
      <c r="J163" s="14"/>
      <c r="K163" s="14"/>
      <c r="L163" s="14"/>
      <c r="M163" s="1"/>
      <c r="N163" s="1"/>
      <c r="O163" s="1"/>
      <c r="P163" s="1"/>
      <c r="Q163" s="1"/>
      <c r="R163" s="1"/>
      <c r="S163" s="1"/>
      <c r="T163" s="1"/>
      <c r="U163" s="1"/>
      <c r="V163" s="1"/>
      <c r="W163" s="1"/>
      <c r="X163" s="1"/>
      <c r="Y163" s="1"/>
      <c r="Z163" s="1"/>
      <c r="AA163" s="1"/>
      <c r="AB163" s="1"/>
      <c r="AC163" s="1"/>
      <c r="AD163" s="1"/>
      <c r="AE163" s="1"/>
      <c r="AF163" s="1"/>
      <c r="AG163" s="1"/>
    </row>
    <row r="164" spans="1:33" ht="45" hidden="1" outlineLevel="1" x14ac:dyDescent="0.25">
      <c r="A164" s="1" t="s">
        <v>398</v>
      </c>
      <c r="B164" s="1" t="s">
        <v>34</v>
      </c>
      <c r="C164" s="1" t="s">
        <v>374</v>
      </c>
      <c r="D164" s="1" t="s">
        <v>399</v>
      </c>
      <c r="E164" s="1" t="s">
        <v>400</v>
      </c>
      <c r="F164" s="4" t="s">
        <v>401</v>
      </c>
      <c r="G164" s="5">
        <v>11.111111111111111</v>
      </c>
      <c r="H164" s="16"/>
      <c r="I164" s="3"/>
      <c r="J164" s="16" t="str">
        <f t="shared" ref="J164:J170" si="155">IF(H164="","",H164)</f>
        <v/>
      </c>
      <c r="K164" s="17"/>
      <c r="L164" s="4" t="s">
        <v>402</v>
      </c>
      <c r="M164" s="1" t="str">
        <f>IFERROR(INDEX(__key!$D:$D,MATCH(O164&amp;"|"&amp;SUBSTITUTE(H164,",",";"), __key!$E:$E, 0)), "")</f>
        <v/>
      </c>
      <c r="N164" s="1" t="str">
        <f>IFERROR(INDEX(__key!$D:$D,MATCH(O164&amp;"|"&amp;SUBSTITUTE(J164,",",";"), __key!$E:$E, 0)), "")</f>
        <v/>
      </c>
      <c r="O164" s="1" t="s">
        <v>51</v>
      </c>
      <c r="P164" s="1"/>
      <c r="Q164" s="1" t="s">
        <v>379</v>
      </c>
      <c r="R164" s="1">
        <v>4631</v>
      </c>
      <c r="S164" s="1">
        <f t="shared" ref="S164:T170" si="156">IFERROR(1*M164,0)</f>
        <v>0</v>
      </c>
      <c r="T164" s="1">
        <f t="shared" si="156"/>
        <v>0</v>
      </c>
      <c r="U164" s="1">
        <f t="shared" ref="U164:U170" si="157">IFERROR(IF(ISNUMBER(SEARCH("Not Relevant",H164)),0,VALUE(G164)),"")</f>
        <v>11.111111111111111</v>
      </c>
      <c r="V164" s="1">
        <f t="shared" ref="V164:V170" si="158">IFERROR(SUMIF($D:$D,D164,$U:$U),"")</f>
        <v>77.777777777777786</v>
      </c>
      <c r="W164" s="1">
        <f t="shared" ref="W164:W170" si="159">IF(OR(V164=0,V164=""),"",U164/V164)</f>
        <v>0.14285714285714285</v>
      </c>
      <c r="X164" s="1" t="str">
        <f t="shared" ref="X164:X170" si="160">IF(OR(M164="",W164=""),"",VALUE(M164)*W164)</f>
        <v/>
      </c>
      <c r="Y164" s="1" t="b">
        <f t="shared" ref="Y164:Y170" si="161">IFERROR(ISNUMBER(SEARCH("Not Relevant",H164)),FALSE)</f>
        <v>0</v>
      </c>
      <c r="Z164" s="1" t="str">
        <f>IF(Y164, COUNTIF($Y$2:Y164, TRUE), "")</f>
        <v/>
      </c>
      <c r="AA164" s="1">
        <f t="shared" ref="AA164:AA170" si="162">IFERROR(IF(ISNUMBER(SEARCH("Not Relevant",J164)),0,VALUE(G164)),"")</f>
        <v>11.111111111111111</v>
      </c>
      <c r="AB164" s="1">
        <f t="shared" ref="AB164:AB170" si="163">IFERROR(SUMIF($D:$D,D164,$AA:$AA),"")</f>
        <v>77.777777777777786</v>
      </c>
      <c r="AC164" s="1">
        <f t="shared" ref="AC164:AC170" si="164">IF(OR(AB164=0,AB164=""),"",AA164/AB164)</f>
        <v>0.14285714285714285</v>
      </c>
      <c r="AD164" s="1" t="str">
        <f t="shared" ref="AD164:AD170" si="165">IF(OR(N164="",AC164=""),"",VALUE(N164)*AC164)</f>
        <v/>
      </c>
      <c r="AE164" s="1" t="b">
        <f t="shared" ref="AE164:AE170" si="166">IFERROR(ISNUMBER(SEARCH("Not Relevant",J164)),FALSE)</f>
        <v>0</v>
      </c>
      <c r="AF164" s="1" t="b">
        <f t="shared" ref="AF164:AF170" si="167">IF(OR(H164="",J164=""),FALSE,IF(H164&lt;&gt;J164,TRUE,FALSE))</f>
        <v>0</v>
      </c>
      <c r="AG164" s="1" t="str">
        <f>IF(AF164, COUNTIF($AF$2:AF164, TRUE), "")</f>
        <v/>
      </c>
    </row>
    <row r="165" spans="1:33" ht="45" hidden="1" outlineLevel="1" x14ac:dyDescent="0.25">
      <c r="A165" s="1" t="s">
        <v>398</v>
      </c>
      <c r="B165" s="1" t="s">
        <v>34</v>
      </c>
      <c r="C165" s="1" t="s">
        <v>374</v>
      </c>
      <c r="D165" s="1" t="s">
        <v>399</v>
      </c>
      <c r="E165" s="1" t="s">
        <v>403</v>
      </c>
      <c r="F165" s="4" t="s">
        <v>404</v>
      </c>
      <c r="G165" s="5">
        <v>11.111111111111111</v>
      </c>
      <c r="H165" s="16"/>
      <c r="I165" s="3"/>
      <c r="J165" s="16" t="str">
        <f t="shared" si="155"/>
        <v/>
      </c>
      <c r="K165" s="17"/>
      <c r="L165" s="4"/>
      <c r="M165" s="1" t="str">
        <f>IFERROR(INDEX(__key!$D:$D,MATCH(O165&amp;"|"&amp;SUBSTITUTE(H165,",",";"), __key!$E:$E, 0)), "")</f>
        <v/>
      </c>
      <c r="N165" s="1" t="str">
        <f>IFERROR(INDEX(__key!$D:$D,MATCH(O165&amp;"|"&amp;SUBSTITUTE(J165,",",";"), __key!$E:$E, 0)), "")</f>
        <v/>
      </c>
      <c r="O165" s="1" t="s">
        <v>51</v>
      </c>
      <c r="P165" s="1"/>
      <c r="Q165" s="1" t="s">
        <v>379</v>
      </c>
      <c r="R165" s="1">
        <v>4632</v>
      </c>
      <c r="S165" s="1">
        <f t="shared" si="156"/>
        <v>0</v>
      </c>
      <c r="T165" s="1">
        <f t="shared" si="156"/>
        <v>0</v>
      </c>
      <c r="U165" s="1">
        <f t="shared" si="157"/>
        <v>11.111111111111111</v>
      </c>
      <c r="V165" s="1">
        <f t="shared" si="158"/>
        <v>77.777777777777786</v>
      </c>
      <c r="W165" s="1">
        <f t="shared" si="159"/>
        <v>0.14285714285714285</v>
      </c>
      <c r="X165" s="1" t="str">
        <f t="shared" si="160"/>
        <v/>
      </c>
      <c r="Y165" s="1" t="b">
        <f t="shared" si="161"/>
        <v>0</v>
      </c>
      <c r="Z165" s="1" t="str">
        <f>IF(Y165, COUNTIF($Y$2:Y165, TRUE), "")</f>
        <v/>
      </c>
      <c r="AA165" s="1">
        <f t="shared" si="162"/>
        <v>11.111111111111111</v>
      </c>
      <c r="AB165" s="1">
        <f t="shared" si="163"/>
        <v>77.777777777777786</v>
      </c>
      <c r="AC165" s="1">
        <f t="shared" si="164"/>
        <v>0.14285714285714285</v>
      </c>
      <c r="AD165" s="1" t="str">
        <f t="shared" si="165"/>
        <v/>
      </c>
      <c r="AE165" s="1" t="b">
        <f t="shared" si="166"/>
        <v>0</v>
      </c>
      <c r="AF165" s="1" t="b">
        <f t="shared" si="167"/>
        <v>0</v>
      </c>
      <c r="AG165" s="1" t="str">
        <f>IF(AF165, COUNTIF($AF$2:AF165, TRUE), "")</f>
        <v/>
      </c>
    </row>
    <row r="166" spans="1:33" ht="45" hidden="1" outlineLevel="1" x14ac:dyDescent="0.25">
      <c r="A166" s="1" t="s">
        <v>398</v>
      </c>
      <c r="B166" s="1" t="s">
        <v>34</v>
      </c>
      <c r="C166" s="1" t="s">
        <v>374</v>
      </c>
      <c r="D166" s="1" t="s">
        <v>399</v>
      </c>
      <c r="E166" s="1" t="s">
        <v>405</v>
      </c>
      <c r="F166" s="4" t="s">
        <v>406</v>
      </c>
      <c r="G166" s="5">
        <v>11.111111111111111</v>
      </c>
      <c r="H166" s="16"/>
      <c r="I166" s="3"/>
      <c r="J166" s="16" t="str">
        <f t="shared" si="155"/>
        <v/>
      </c>
      <c r="K166" s="17"/>
      <c r="L166" s="4"/>
      <c r="M166" s="1" t="str">
        <f>IFERROR(INDEX(__key!$D:$D,MATCH(O166&amp;"|"&amp;SUBSTITUTE(H166,",",";"), __key!$E:$E, 0)), "")</f>
        <v/>
      </c>
      <c r="N166" s="1" t="str">
        <f>IFERROR(INDEX(__key!$D:$D,MATCH(O166&amp;"|"&amp;SUBSTITUTE(J166,",",";"), __key!$E:$E, 0)), "")</f>
        <v/>
      </c>
      <c r="O166" s="1" t="s">
        <v>407</v>
      </c>
      <c r="P166" s="1"/>
      <c r="Q166" s="1" t="s">
        <v>379</v>
      </c>
      <c r="R166" s="1">
        <v>4633</v>
      </c>
      <c r="S166" s="1">
        <f t="shared" si="156"/>
        <v>0</v>
      </c>
      <c r="T166" s="1">
        <f t="shared" si="156"/>
        <v>0</v>
      </c>
      <c r="U166" s="1">
        <f t="shared" si="157"/>
        <v>11.111111111111111</v>
      </c>
      <c r="V166" s="1">
        <f t="shared" si="158"/>
        <v>77.777777777777786</v>
      </c>
      <c r="W166" s="1">
        <f t="shared" si="159"/>
        <v>0.14285714285714285</v>
      </c>
      <c r="X166" s="1" t="str">
        <f t="shared" si="160"/>
        <v/>
      </c>
      <c r="Y166" s="1" t="b">
        <f t="shared" si="161"/>
        <v>0</v>
      </c>
      <c r="Z166" s="1" t="str">
        <f>IF(Y166, COUNTIF($Y$2:Y166, TRUE), "")</f>
        <v/>
      </c>
      <c r="AA166" s="1">
        <f t="shared" si="162"/>
        <v>11.111111111111111</v>
      </c>
      <c r="AB166" s="1">
        <f t="shared" si="163"/>
        <v>77.777777777777786</v>
      </c>
      <c r="AC166" s="1">
        <f t="shared" si="164"/>
        <v>0.14285714285714285</v>
      </c>
      <c r="AD166" s="1" t="str">
        <f t="shared" si="165"/>
        <v/>
      </c>
      <c r="AE166" s="1" t="b">
        <f t="shared" si="166"/>
        <v>0</v>
      </c>
      <c r="AF166" s="1" t="b">
        <f t="shared" si="167"/>
        <v>0</v>
      </c>
      <c r="AG166" s="1" t="str">
        <f>IF(AF166, COUNTIF($AF$2:AF166, TRUE), "")</f>
        <v/>
      </c>
    </row>
    <row r="167" spans="1:33" ht="45" hidden="1" outlineLevel="1" x14ac:dyDescent="0.25">
      <c r="A167" s="1" t="s">
        <v>398</v>
      </c>
      <c r="B167" s="1" t="s">
        <v>34</v>
      </c>
      <c r="C167" s="1" t="s">
        <v>374</v>
      </c>
      <c r="D167" s="1" t="s">
        <v>399</v>
      </c>
      <c r="E167" s="1" t="s">
        <v>408</v>
      </c>
      <c r="F167" s="4" t="s">
        <v>409</v>
      </c>
      <c r="G167" s="5">
        <v>11.111111111111111</v>
      </c>
      <c r="H167" s="16"/>
      <c r="I167" s="3"/>
      <c r="J167" s="16" t="str">
        <f t="shared" si="155"/>
        <v/>
      </c>
      <c r="K167" s="17"/>
      <c r="L167" s="4"/>
      <c r="M167" s="1" t="str">
        <f>IFERROR(INDEX(__key!$D:$D,MATCH(O167&amp;"|"&amp;SUBSTITUTE(H167,",",";"), __key!$E:$E, 0)), "")</f>
        <v/>
      </c>
      <c r="N167" s="1" t="str">
        <f>IFERROR(INDEX(__key!$D:$D,MATCH(O167&amp;"|"&amp;SUBSTITUTE(J167,",",";"), __key!$E:$E, 0)), "")</f>
        <v/>
      </c>
      <c r="O167" s="1" t="s">
        <v>51</v>
      </c>
      <c r="P167" s="1"/>
      <c r="Q167" s="1" t="s">
        <v>379</v>
      </c>
      <c r="R167" s="1">
        <v>4634</v>
      </c>
      <c r="S167" s="1">
        <f t="shared" si="156"/>
        <v>0</v>
      </c>
      <c r="T167" s="1">
        <f t="shared" si="156"/>
        <v>0</v>
      </c>
      <c r="U167" s="1">
        <f t="shared" si="157"/>
        <v>11.111111111111111</v>
      </c>
      <c r="V167" s="1">
        <f t="shared" si="158"/>
        <v>77.777777777777786</v>
      </c>
      <c r="W167" s="1">
        <f t="shared" si="159"/>
        <v>0.14285714285714285</v>
      </c>
      <c r="X167" s="1" t="str">
        <f t="shared" si="160"/>
        <v/>
      </c>
      <c r="Y167" s="1" t="b">
        <f t="shared" si="161"/>
        <v>0</v>
      </c>
      <c r="Z167" s="1" t="str">
        <f>IF(Y167, COUNTIF($Y$2:Y167, TRUE), "")</f>
        <v/>
      </c>
      <c r="AA167" s="1">
        <f t="shared" si="162"/>
        <v>11.111111111111111</v>
      </c>
      <c r="AB167" s="1">
        <f t="shared" si="163"/>
        <v>77.777777777777786</v>
      </c>
      <c r="AC167" s="1">
        <f t="shared" si="164"/>
        <v>0.14285714285714285</v>
      </c>
      <c r="AD167" s="1" t="str">
        <f t="shared" si="165"/>
        <v/>
      </c>
      <c r="AE167" s="1" t="b">
        <f t="shared" si="166"/>
        <v>0</v>
      </c>
      <c r="AF167" s="1" t="b">
        <f t="shared" si="167"/>
        <v>0</v>
      </c>
      <c r="AG167" s="1" t="str">
        <f>IF(AF167, COUNTIF($AF$2:AF167, TRUE), "")</f>
        <v/>
      </c>
    </row>
    <row r="168" spans="1:33" ht="45" hidden="1" outlineLevel="1" x14ac:dyDescent="0.25">
      <c r="A168" s="1" t="s">
        <v>398</v>
      </c>
      <c r="B168" s="1" t="s">
        <v>34</v>
      </c>
      <c r="C168" s="1" t="s">
        <v>374</v>
      </c>
      <c r="D168" s="1" t="s">
        <v>399</v>
      </c>
      <c r="E168" s="1" t="s">
        <v>410</v>
      </c>
      <c r="F168" s="4" t="s">
        <v>411</v>
      </c>
      <c r="G168" s="5">
        <v>11.111111111111111</v>
      </c>
      <c r="H168" s="16"/>
      <c r="I168" s="3"/>
      <c r="J168" s="16" t="str">
        <f t="shared" si="155"/>
        <v/>
      </c>
      <c r="K168" s="17"/>
      <c r="L168" s="4"/>
      <c r="M168" s="1" t="str">
        <f>IFERROR(INDEX(__key!$D:$D,MATCH(O168&amp;"|"&amp;SUBSTITUTE(H168,",",";"), __key!$E:$E, 0)), "")</f>
        <v/>
      </c>
      <c r="N168" s="1" t="str">
        <f>IFERROR(INDEX(__key!$D:$D,MATCH(O168&amp;"|"&amp;SUBSTITUTE(J168,",",";"), __key!$E:$E, 0)), "")</f>
        <v/>
      </c>
      <c r="O168" s="1" t="s">
        <v>407</v>
      </c>
      <c r="P168" s="1"/>
      <c r="Q168" s="1" t="s">
        <v>379</v>
      </c>
      <c r="R168" s="1">
        <v>4635</v>
      </c>
      <c r="S168" s="1">
        <f t="shared" si="156"/>
        <v>0</v>
      </c>
      <c r="T168" s="1">
        <f t="shared" si="156"/>
        <v>0</v>
      </c>
      <c r="U168" s="1">
        <f t="shared" si="157"/>
        <v>11.111111111111111</v>
      </c>
      <c r="V168" s="1">
        <f t="shared" si="158"/>
        <v>77.777777777777786</v>
      </c>
      <c r="W168" s="1">
        <f t="shared" si="159"/>
        <v>0.14285714285714285</v>
      </c>
      <c r="X168" s="1" t="str">
        <f t="shared" si="160"/>
        <v/>
      </c>
      <c r="Y168" s="1" t="b">
        <f t="shared" si="161"/>
        <v>0</v>
      </c>
      <c r="Z168" s="1" t="str">
        <f>IF(Y168, COUNTIF($Y$2:Y168, TRUE), "")</f>
        <v/>
      </c>
      <c r="AA168" s="1">
        <f t="shared" si="162"/>
        <v>11.111111111111111</v>
      </c>
      <c r="AB168" s="1">
        <f t="shared" si="163"/>
        <v>77.777777777777786</v>
      </c>
      <c r="AC168" s="1">
        <f t="shared" si="164"/>
        <v>0.14285714285714285</v>
      </c>
      <c r="AD168" s="1" t="str">
        <f t="shared" si="165"/>
        <v/>
      </c>
      <c r="AE168" s="1" t="b">
        <f t="shared" si="166"/>
        <v>0</v>
      </c>
      <c r="AF168" s="1" t="b">
        <f t="shared" si="167"/>
        <v>0</v>
      </c>
      <c r="AG168" s="1" t="str">
        <f>IF(AF168, COUNTIF($AF$2:AF168, TRUE), "")</f>
        <v/>
      </c>
    </row>
    <row r="169" spans="1:33" ht="45" hidden="1" outlineLevel="1" x14ac:dyDescent="0.25">
      <c r="A169" s="1" t="s">
        <v>398</v>
      </c>
      <c r="B169" s="1" t="s">
        <v>34</v>
      </c>
      <c r="C169" s="1" t="s">
        <v>374</v>
      </c>
      <c r="D169" s="1" t="s">
        <v>399</v>
      </c>
      <c r="E169" s="1" t="s">
        <v>412</v>
      </c>
      <c r="F169" s="4" t="s">
        <v>413</v>
      </c>
      <c r="G169" s="5">
        <v>11.111111111111111</v>
      </c>
      <c r="H169" s="16"/>
      <c r="I169" s="3"/>
      <c r="J169" s="16" t="str">
        <f t="shared" si="155"/>
        <v/>
      </c>
      <c r="K169" s="17"/>
      <c r="L169" s="4"/>
      <c r="M169" s="1" t="str">
        <f>IFERROR(INDEX(__key!$D:$D,MATCH(O169&amp;"|"&amp;SUBSTITUTE(H169,",",";"), __key!$E:$E, 0)), "")</f>
        <v/>
      </c>
      <c r="N169" s="1" t="str">
        <f>IFERROR(INDEX(__key!$D:$D,MATCH(O169&amp;"|"&amp;SUBSTITUTE(J169,",",";"), __key!$E:$E, 0)), "")</f>
        <v/>
      </c>
      <c r="O169" s="1" t="s">
        <v>51</v>
      </c>
      <c r="P169" s="1"/>
      <c r="Q169" s="1" t="s">
        <v>379</v>
      </c>
      <c r="R169" s="1">
        <v>4636</v>
      </c>
      <c r="S169" s="1">
        <f t="shared" si="156"/>
        <v>0</v>
      </c>
      <c r="T169" s="1">
        <f t="shared" si="156"/>
        <v>0</v>
      </c>
      <c r="U169" s="1">
        <f t="shared" si="157"/>
        <v>11.111111111111111</v>
      </c>
      <c r="V169" s="1">
        <f t="shared" si="158"/>
        <v>77.777777777777786</v>
      </c>
      <c r="W169" s="1">
        <f t="shared" si="159"/>
        <v>0.14285714285714285</v>
      </c>
      <c r="X169" s="1" t="str">
        <f t="shared" si="160"/>
        <v/>
      </c>
      <c r="Y169" s="1" t="b">
        <f t="shared" si="161"/>
        <v>0</v>
      </c>
      <c r="Z169" s="1" t="str">
        <f>IF(Y169, COUNTIF($Y$2:Y169, TRUE), "")</f>
        <v/>
      </c>
      <c r="AA169" s="1">
        <f t="shared" si="162"/>
        <v>11.111111111111111</v>
      </c>
      <c r="AB169" s="1">
        <f t="shared" si="163"/>
        <v>77.777777777777786</v>
      </c>
      <c r="AC169" s="1">
        <f t="shared" si="164"/>
        <v>0.14285714285714285</v>
      </c>
      <c r="AD169" s="1" t="str">
        <f t="shared" si="165"/>
        <v/>
      </c>
      <c r="AE169" s="1" t="b">
        <f t="shared" si="166"/>
        <v>0</v>
      </c>
      <c r="AF169" s="1" t="b">
        <f t="shared" si="167"/>
        <v>0</v>
      </c>
      <c r="AG169" s="1" t="str">
        <f>IF(AF169, COUNTIF($AF$2:AF169, TRUE), "")</f>
        <v/>
      </c>
    </row>
    <row r="170" spans="1:33" ht="45" hidden="1" outlineLevel="1" x14ac:dyDescent="0.25">
      <c r="A170" s="1" t="s">
        <v>398</v>
      </c>
      <c r="B170" s="1" t="s">
        <v>34</v>
      </c>
      <c r="C170" s="1" t="s">
        <v>374</v>
      </c>
      <c r="D170" s="1" t="s">
        <v>399</v>
      </c>
      <c r="E170" s="1" t="s">
        <v>414</v>
      </c>
      <c r="F170" s="4" t="s">
        <v>415</v>
      </c>
      <c r="G170" s="5">
        <v>11.111111111111111</v>
      </c>
      <c r="H170" s="16"/>
      <c r="I170" s="3"/>
      <c r="J170" s="16" t="str">
        <f t="shared" si="155"/>
        <v/>
      </c>
      <c r="K170" s="17"/>
      <c r="L170" s="4" t="s">
        <v>416</v>
      </c>
      <c r="M170" s="1" t="str">
        <f>IFERROR(INDEX(__key!$D:$D,MATCH(O170&amp;"|"&amp;SUBSTITUTE(H170,",",";"), __key!$E:$E, 0)), "")</f>
        <v/>
      </c>
      <c r="N170" s="1" t="str">
        <f>IFERROR(INDEX(__key!$D:$D,MATCH(O170&amp;"|"&amp;SUBSTITUTE(J170,",",";"), __key!$E:$E, 0)), "")</f>
        <v/>
      </c>
      <c r="O170" s="1" t="s">
        <v>51</v>
      </c>
      <c r="P170" s="1"/>
      <c r="Q170" s="1" t="s">
        <v>379</v>
      </c>
      <c r="R170" s="1">
        <v>4637</v>
      </c>
      <c r="S170" s="1">
        <f t="shared" si="156"/>
        <v>0</v>
      </c>
      <c r="T170" s="1">
        <f t="shared" si="156"/>
        <v>0</v>
      </c>
      <c r="U170" s="1">
        <f t="shared" si="157"/>
        <v>11.111111111111111</v>
      </c>
      <c r="V170" s="1">
        <f t="shared" si="158"/>
        <v>77.777777777777786</v>
      </c>
      <c r="W170" s="1">
        <f t="shared" si="159"/>
        <v>0.14285714285714285</v>
      </c>
      <c r="X170" s="1" t="str">
        <f t="shared" si="160"/>
        <v/>
      </c>
      <c r="Y170" s="1" t="b">
        <f t="shared" si="161"/>
        <v>0</v>
      </c>
      <c r="Z170" s="1" t="str">
        <f>IF(Y170, COUNTIF($Y$2:Y170, TRUE), "")</f>
        <v/>
      </c>
      <c r="AA170" s="1">
        <f t="shared" si="162"/>
        <v>11.111111111111111</v>
      </c>
      <c r="AB170" s="1">
        <f t="shared" si="163"/>
        <v>77.777777777777786</v>
      </c>
      <c r="AC170" s="1">
        <f t="shared" si="164"/>
        <v>0.14285714285714285</v>
      </c>
      <c r="AD170" s="1" t="str">
        <f t="shared" si="165"/>
        <v/>
      </c>
      <c r="AE170" s="1" t="b">
        <f t="shared" si="166"/>
        <v>0</v>
      </c>
      <c r="AF170" s="1" t="b">
        <f t="shared" si="167"/>
        <v>0</v>
      </c>
      <c r="AG170" s="1" t="str">
        <f>IF(AF170, COUNTIF($AF$2:AF170, TRUE), "")</f>
        <v/>
      </c>
    </row>
  </sheetData>
  <sheetProtection algorithmName="SHA-512" hashValue="cP3Wg6I1hovh8eMc/lZoDjhyF9VRt+P8tBCIZP87uGCMEZTA8fSY6dJlynZ6H58j86M6wWaZMyxzW/cN6GNI9g==" saltValue="vLt3RM3fuvMqS6LrbYIj0w==" spinCount="100000" sheet="1" objects="1" scenarios="1" formatRows="0"/>
  <mergeCells count="17">
    <mergeCell ref="F128:L128"/>
    <mergeCell ref="A1:J1"/>
    <mergeCell ref="F36:L36"/>
    <mergeCell ref="F71:L71"/>
    <mergeCell ref="F145:L145"/>
    <mergeCell ref="F163:L163"/>
    <mergeCell ref="F89:L89"/>
    <mergeCell ref="F159:L159"/>
    <mergeCell ref="F96:L96"/>
    <mergeCell ref="F153:L153"/>
    <mergeCell ref="F44:L44"/>
    <mergeCell ref="F83:L83"/>
    <mergeCell ref="F3:L3"/>
    <mergeCell ref="F59:L59"/>
    <mergeCell ref="F109:L109"/>
    <mergeCell ref="F139:L139"/>
    <mergeCell ref="F25:L25"/>
  </mergeCells>
  <dataValidations count="1">
    <dataValidation type="list" allowBlank="1" showErrorMessage="1" sqref="H156 J156" xr:uid="{00000000-0002-0000-0000-000016010000}">
      <formula1>"Yes - This recommendation / best practice is fully implemented,Broadly - This recommendation / best practice is implemented but not consistently implemented,No - This recommendation / best practice has not been implemented"</formula1>
    </dataValidation>
  </dataValidations>
  <pageMargins left="0.05" right="0.05" top="0.05" bottom="0.05" header="0" footer="0"/>
  <extLst>
    <ext xmlns:x14="http://schemas.microsoft.com/office/spreadsheetml/2009/9/main" uri="{CCE6A557-97BC-4b89-ADB6-D9C93CAAB3DF}">
      <x14:dataValidations xmlns:xm="http://schemas.microsoft.com/office/excel/2006/main" count="8">
        <x14:dataValidation type="list" allowBlank="1" showErrorMessage="1" xr:uid="{00000000-0002-0000-0000-000000000000}">
          <x14:formula1>
            <xm:f>__lists!$B$2:$B$6</xm:f>
          </x14:formula1>
          <xm:sqref>H4:H7 J4:J7</xm:sqref>
        </x14:dataValidation>
        <x14:dataValidation type="list" allowBlank="1" showErrorMessage="1" xr:uid="{00000000-0002-0000-0000-000008000000}">
          <x14:formula1>
            <xm:f>__lists!$C$2:$C$6</xm:f>
          </x14:formula1>
          <xm:sqref>H8 J169:J170 H169:H170 J167 H167 J164:J165 H164:H165 J160:J162 H160:H162 J157:J158 H157:H158 J154:J155 H154:H155 J146:J152 H146:H152 J140:J144 H140:H144 J136:J138 H136:H138 J129:J134 H129:H134 J125:J127 H125:H127 J119:J121 H119:H121 J110:J116 H110:H116 J107:J108 H107:H108 J97:J103 H97:H103 J90:J95 H90:H95 J81:J82 H81:H82 J69:J70 H69:H70 J57:J58 H57:H58 J42:J43 H42:H43 J39 H39 J18:J24 H18:H24 J8</xm:sqref>
        </x14:dataValidation>
        <x14:dataValidation type="list" allowBlank="1" showErrorMessage="1" xr:uid="{00000000-0002-0000-0000-00000A000000}">
          <x14:formula1>
            <xm:f>__lists!$D$2:$D$7</xm:f>
          </x14:formula1>
          <xm:sqref>H9 J9</xm:sqref>
        </x14:dataValidation>
        <x14:dataValidation type="list" allowBlank="1" showErrorMessage="1" xr:uid="{00000000-0002-0000-0000-00000C000000}">
          <x14:formula1>
            <xm:f>__lists!$E$2:$E$7</xm:f>
          </x14:formula1>
          <xm:sqref>J135 H135 J122:J124 H122:H124 J117:J118 H117:H118 J104:J106 H104:H106 H10:H17 J10:J17</xm:sqref>
        </x14:dataValidation>
        <x14:dataValidation type="list" allowBlank="1" showErrorMessage="1" xr:uid="{00000000-0002-0000-0000-00002A000000}">
          <x14:formula1>
            <xm:f>__lists!$F$2:$F$6</xm:f>
          </x14:formula1>
          <xm:sqref>J73:J80 H73:H80 J61:J68 H61:H68 J50:J56 H50:H56 J40:J41 H40:H41 J38 H38 H26:H35 J26:J35</xm:sqref>
        </x14:dataValidation>
        <x14:dataValidation type="list" allowBlank="1" showErrorMessage="1" xr:uid="{00000000-0002-0000-0000-00003E000000}">
          <x14:formula1>
            <xm:f>__lists!$G$2:$G$8</xm:f>
          </x14:formula1>
          <xm:sqref>H37 J72 H72 J60 H60 J45:J49 H45:H49 J37</xm:sqref>
        </x14:dataValidation>
        <x14:dataValidation type="list" allowBlank="1" showErrorMessage="1" xr:uid="{00000000-0002-0000-0000-000094000000}">
          <x14:formula1>
            <xm:f>__lists!$H$2:$H$6</xm:f>
          </x14:formula1>
          <xm:sqref>H84:H88 J84:J88</xm:sqref>
        </x14:dataValidation>
        <x14:dataValidation type="list" allowBlank="1" showErrorMessage="1" xr:uid="{00000000-0002-0000-0000-000026010000}">
          <x14:formula1>
            <xm:f>__lists!$I$2:$I$6</xm:f>
          </x14:formula1>
          <xm:sqref>H166 J168 H168 J166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70"/>
  <sheetViews>
    <sheetView workbookViewId="0">
      <pane ySplit="1" topLeftCell="A2" activePane="bottomLeft" state="frozen"/>
      <selection activeCell="H18" sqref="H18"/>
      <selection pane="bottomLeft" activeCell="H18" sqref="H18"/>
    </sheetView>
  </sheetViews>
  <sheetFormatPr defaultRowHeight="15" x14ac:dyDescent="0.25"/>
  <cols>
    <col min="1" max="1" width="20" customWidth="1"/>
    <col min="2" max="3" width="55" customWidth="1"/>
  </cols>
  <sheetData>
    <row r="1" spans="1:3" ht="24.95" customHeight="1" x14ac:dyDescent="0.25">
      <c r="A1" s="2" t="s">
        <v>20</v>
      </c>
      <c r="B1" s="2" t="s">
        <v>21</v>
      </c>
      <c r="C1" s="2" t="s">
        <v>23</v>
      </c>
    </row>
    <row r="2" spans="1:3" x14ac:dyDescent="0.25">
      <c r="A2" s="10" t="str">
        <f>IFERROR(INDEX(DQAF_Input!$E$2:$E$170,MATCH(1,DQAF_Input!$Z$2:$Z$170,0)),"")</f>
        <v/>
      </c>
      <c r="B2" s="4" t="str">
        <f>IF($A2="","",IF(IFERROR(VLOOKUP($A2,__rbp_p!$A:$B,2,FALSE),"")&lt;&gt;"",IFERROR(VLOOKUP($A2,__rbp_p!$A:$B,2,FALSE),""),IFERROR(INDEX(DQAF_Input!$F$2:$F$170,MATCH(1,DQAF_Input!$Z$2:$Z$170,0)),"")))</f>
        <v/>
      </c>
      <c r="C2" s="4" t="str">
        <f>IF($A2="","",INDEX(DQAF_Input!$H$2:$H$170,MATCH(1,DQAF_Input!$Z$2:$Z$170,0)))</f>
        <v/>
      </c>
    </row>
    <row r="3" spans="1:3" x14ac:dyDescent="0.25">
      <c r="A3" s="10" t="str">
        <f>IFERROR(INDEX(DQAF_Input!$E$2:$E$170,MATCH(2,DQAF_Input!$Z$2:$Z$170,0)),"")</f>
        <v/>
      </c>
      <c r="B3" s="4" t="str">
        <f>IF($A3="","",IF(IFERROR(VLOOKUP($A3,__rbp_p!$A:$B,2,FALSE),"")&lt;&gt;"",IFERROR(VLOOKUP($A3,__rbp_p!$A:$B,2,FALSE),""),IFERROR(INDEX(DQAF_Input!$F$2:$F$170,MATCH(2,DQAF_Input!$Z$2:$Z$170,0)),"")))</f>
        <v/>
      </c>
      <c r="C3" s="4" t="str">
        <f>IF($A3="","",INDEX(DQAF_Input!$H$2:$H$170,MATCH(2,DQAF_Input!$Z$2:$Z$170,0)))</f>
        <v/>
      </c>
    </row>
    <row r="4" spans="1:3" x14ac:dyDescent="0.25">
      <c r="A4" s="10" t="str">
        <f>IFERROR(INDEX(DQAF_Input!$E$2:$E$170,MATCH(3,DQAF_Input!$Z$2:$Z$170,0)),"")</f>
        <v/>
      </c>
      <c r="B4" s="4" t="str">
        <f>IF($A4="","",IF(IFERROR(VLOOKUP($A4,__rbp_p!$A:$B,2,FALSE),"")&lt;&gt;"",IFERROR(VLOOKUP($A4,__rbp_p!$A:$B,2,FALSE),""),IFERROR(INDEX(DQAF_Input!$F$2:$F$170,MATCH(3,DQAF_Input!$Z$2:$Z$170,0)),"")))</f>
        <v/>
      </c>
      <c r="C4" s="4" t="str">
        <f>IF($A4="","",INDEX(DQAF_Input!$H$2:$H$170,MATCH(3,DQAF_Input!$Z$2:$Z$170,0)))</f>
        <v/>
      </c>
    </row>
    <row r="5" spans="1:3" x14ac:dyDescent="0.25">
      <c r="A5" s="10" t="str">
        <f>IFERROR(INDEX(DQAF_Input!$E$2:$E$170,MATCH(4,DQAF_Input!$Z$2:$Z$170,0)),"")</f>
        <v/>
      </c>
      <c r="B5" s="4" t="str">
        <f>IF($A5="","",IF(IFERROR(VLOOKUP($A5,__rbp_p!$A:$B,2,FALSE),"")&lt;&gt;"",IFERROR(VLOOKUP($A5,__rbp_p!$A:$B,2,FALSE),""),IFERROR(INDEX(DQAF_Input!$F$2:$F$170,MATCH(4,DQAF_Input!$Z$2:$Z$170,0)),"")))</f>
        <v/>
      </c>
      <c r="C5" s="4" t="str">
        <f>IF($A5="","",INDEX(DQAF_Input!$H$2:$H$170,MATCH(4,DQAF_Input!$Z$2:$Z$170,0)))</f>
        <v/>
      </c>
    </row>
    <row r="6" spans="1:3" x14ac:dyDescent="0.25">
      <c r="A6" s="10" t="str">
        <f>IFERROR(INDEX(DQAF_Input!$E$2:$E$170,MATCH(5,DQAF_Input!$Z$2:$Z$170,0)),"")</f>
        <v/>
      </c>
      <c r="B6" s="4" t="str">
        <f>IF($A6="","",IF(IFERROR(VLOOKUP($A6,__rbp_p!$A:$B,2,FALSE),"")&lt;&gt;"",IFERROR(VLOOKUP($A6,__rbp_p!$A:$B,2,FALSE),""),IFERROR(INDEX(DQAF_Input!$F$2:$F$170,MATCH(5,DQAF_Input!$Z$2:$Z$170,0)),"")))</f>
        <v/>
      </c>
      <c r="C6" s="4" t="str">
        <f>IF($A6="","",INDEX(DQAF_Input!$H$2:$H$170,MATCH(5,DQAF_Input!$Z$2:$Z$170,0)))</f>
        <v/>
      </c>
    </row>
    <row r="7" spans="1:3" x14ac:dyDescent="0.25">
      <c r="A7" s="10" t="str">
        <f>IFERROR(INDEX(DQAF_Input!$E$2:$E$170,MATCH(6,DQAF_Input!$Z$2:$Z$170,0)),"")</f>
        <v/>
      </c>
      <c r="B7" s="4" t="str">
        <f>IF($A7="","",IF(IFERROR(VLOOKUP($A7,__rbp_p!$A:$B,2,FALSE),"")&lt;&gt;"",IFERROR(VLOOKUP($A7,__rbp_p!$A:$B,2,FALSE),""),IFERROR(INDEX(DQAF_Input!$F$2:$F$170,MATCH(6,DQAF_Input!$Z$2:$Z$170,0)),"")))</f>
        <v/>
      </c>
      <c r="C7" s="4" t="str">
        <f>IF($A7="","",INDEX(DQAF_Input!$H$2:$H$170,MATCH(6,DQAF_Input!$Z$2:$Z$170,0)))</f>
        <v/>
      </c>
    </row>
    <row r="8" spans="1:3" x14ac:dyDescent="0.25">
      <c r="A8" s="10" t="str">
        <f>IFERROR(INDEX(DQAF_Input!$E$2:$E$170,MATCH(7,DQAF_Input!$Z$2:$Z$170,0)),"")</f>
        <v/>
      </c>
      <c r="B8" s="4" t="str">
        <f>IF($A8="","",IF(IFERROR(VLOOKUP($A8,__rbp_p!$A:$B,2,FALSE),"")&lt;&gt;"",IFERROR(VLOOKUP($A8,__rbp_p!$A:$B,2,FALSE),""),IFERROR(INDEX(DQAF_Input!$F$2:$F$170,MATCH(7,DQAF_Input!$Z$2:$Z$170,0)),"")))</f>
        <v/>
      </c>
      <c r="C8" s="4" t="str">
        <f>IF($A8="","",INDEX(DQAF_Input!$H$2:$H$170,MATCH(7,DQAF_Input!$Z$2:$Z$170,0)))</f>
        <v/>
      </c>
    </row>
    <row r="9" spans="1:3" x14ac:dyDescent="0.25">
      <c r="A9" s="10" t="str">
        <f>IFERROR(INDEX(DQAF_Input!$E$2:$E$170,MATCH(8,DQAF_Input!$Z$2:$Z$170,0)),"")</f>
        <v/>
      </c>
      <c r="B9" s="4" t="str">
        <f>IF($A9="","",IF(IFERROR(VLOOKUP($A9,__rbp_p!$A:$B,2,FALSE),"")&lt;&gt;"",IFERROR(VLOOKUP($A9,__rbp_p!$A:$B,2,FALSE),""),IFERROR(INDEX(DQAF_Input!$F$2:$F$170,MATCH(8,DQAF_Input!$Z$2:$Z$170,0)),"")))</f>
        <v/>
      </c>
      <c r="C9" s="4" t="str">
        <f>IF($A9="","",INDEX(DQAF_Input!$H$2:$H$170,MATCH(8,DQAF_Input!$Z$2:$Z$170,0)))</f>
        <v/>
      </c>
    </row>
    <row r="10" spans="1:3" x14ac:dyDescent="0.25">
      <c r="A10" s="10" t="str">
        <f>IFERROR(INDEX(DQAF_Input!$E$2:$E$170,MATCH(9,DQAF_Input!$Z$2:$Z$170,0)),"")</f>
        <v/>
      </c>
      <c r="B10" s="4" t="str">
        <f>IF($A10="","",IF(IFERROR(VLOOKUP($A10,__rbp_p!$A:$B,2,FALSE),"")&lt;&gt;"",IFERROR(VLOOKUP($A10,__rbp_p!$A:$B,2,FALSE),""),IFERROR(INDEX(DQAF_Input!$F$2:$F$170,MATCH(9,DQAF_Input!$Z$2:$Z$170,0)),"")))</f>
        <v/>
      </c>
      <c r="C10" s="4" t="str">
        <f>IF($A10="","",INDEX(DQAF_Input!$H$2:$H$170,MATCH(9,DQAF_Input!$Z$2:$Z$170,0)))</f>
        <v/>
      </c>
    </row>
    <row r="11" spans="1:3" x14ac:dyDescent="0.25">
      <c r="A11" s="10" t="str">
        <f>IFERROR(INDEX(DQAF_Input!$E$2:$E$170,MATCH(10,DQAF_Input!$Z$2:$Z$170,0)),"")</f>
        <v/>
      </c>
      <c r="B11" s="4" t="str">
        <f>IF($A11="","",IF(IFERROR(VLOOKUP($A11,__rbp_p!$A:$B,2,FALSE),"")&lt;&gt;"",IFERROR(VLOOKUP($A11,__rbp_p!$A:$B,2,FALSE),""),IFERROR(INDEX(DQAF_Input!$F$2:$F$170,MATCH(10,DQAF_Input!$Z$2:$Z$170,0)),"")))</f>
        <v/>
      </c>
      <c r="C11" s="4" t="str">
        <f>IF($A11="","",INDEX(DQAF_Input!$H$2:$H$170,MATCH(10,DQAF_Input!$Z$2:$Z$170,0)))</f>
        <v/>
      </c>
    </row>
    <row r="12" spans="1:3" x14ac:dyDescent="0.25">
      <c r="A12" s="10" t="str">
        <f>IFERROR(INDEX(DQAF_Input!$E$2:$E$170,MATCH(11,DQAF_Input!$Z$2:$Z$170,0)),"")</f>
        <v/>
      </c>
      <c r="B12" s="4" t="str">
        <f>IF($A12="","",IF(IFERROR(VLOOKUP($A12,__rbp_p!$A:$B,2,FALSE),"")&lt;&gt;"",IFERROR(VLOOKUP($A12,__rbp_p!$A:$B,2,FALSE),""),IFERROR(INDEX(DQAF_Input!$F$2:$F$170,MATCH(11,DQAF_Input!$Z$2:$Z$170,0)),"")))</f>
        <v/>
      </c>
      <c r="C12" s="4" t="str">
        <f>IF($A12="","",INDEX(DQAF_Input!$H$2:$H$170,MATCH(11,DQAF_Input!$Z$2:$Z$170,0)))</f>
        <v/>
      </c>
    </row>
    <row r="13" spans="1:3" x14ac:dyDescent="0.25">
      <c r="A13" s="10" t="str">
        <f>IFERROR(INDEX(DQAF_Input!$E$2:$E$170,MATCH(12,DQAF_Input!$Z$2:$Z$170,0)),"")</f>
        <v/>
      </c>
      <c r="B13" s="4" t="str">
        <f>IF($A13="","",IF(IFERROR(VLOOKUP($A13,__rbp_p!$A:$B,2,FALSE),"")&lt;&gt;"",IFERROR(VLOOKUP($A13,__rbp_p!$A:$B,2,FALSE),""),IFERROR(INDEX(DQAF_Input!$F$2:$F$170,MATCH(12,DQAF_Input!$Z$2:$Z$170,0)),"")))</f>
        <v/>
      </c>
      <c r="C13" s="4" t="str">
        <f>IF($A13="","",INDEX(DQAF_Input!$H$2:$H$170,MATCH(12,DQAF_Input!$Z$2:$Z$170,0)))</f>
        <v/>
      </c>
    </row>
    <row r="14" spans="1:3" x14ac:dyDescent="0.25">
      <c r="A14" s="10" t="str">
        <f>IFERROR(INDEX(DQAF_Input!$E$2:$E$170,MATCH(13,DQAF_Input!$Z$2:$Z$170,0)),"")</f>
        <v/>
      </c>
      <c r="B14" s="4" t="str">
        <f>IF($A14="","",IF(IFERROR(VLOOKUP($A14,__rbp_p!$A:$B,2,FALSE),"")&lt;&gt;"",IFERROR(VLOOKUP($A14,__rbp_p!$A:$B,2,FALSE),""),IFERROR(INDEX(DQAF_Input!$F$2:$F$170,MATCH(13,DQAF_Input!$Z$2:$Z$170,0)),"")))</f>
        <v/>
      </c>
      <c r="C14" s="4" t="str">
        <f>IF($A14="","",INDEX(DQAF_Input!$H$2:$H$170,MATCH(13,DQAF_Input!$Z$2:$Z$170,0)))</f>
        <v/>
      </c>
    </row>
    <row r="15" spans="1:3" x14ac:dyDescent="0.25">
      <c r="A15" s="10" t="str">
        <f>IFERROR(INDEX(DQAF_Input!$E$2:$E$170,MATCH(14,DQAF_Input!$Z$2:$Z$170,0)),"")</f>
        <v/>
      </c>
      <c r="B15" s="4" t="str">
        <f>IF($A15="","",IF(IFERROR(VLOOKUP($A15,__rbp_p!$A:$B,2,FALSE),"")&lt;&gt;"",IFERROR(VLOOKUP($A15,__rbp_p!$A:$B,2,FALSE),""),IFERROR(INDEX(DQAF_Input!$F$2:$F$170,MATCH(14,DQAF_Input!$Z$2:$Z$170,0)),"")))</f>
        <v/>
      </c>
      <c r="C15" s="4" t="str">
        <f>IF($A15="","",INDEX(DQAF_Input!$H$2:$H$170,MATCH(14,DQAF_Input!$Z$2:$Z$170,0)))</f>
        <v/>
      </c>
    </row>
    <row r="16" spans="1:3" x14ac:dyDescent="0.25">
      <c r="A16" s="10" t="str">
        <f>IFERROR(INDEX(DQAF_Input!$E$2:$E$170,MATCH(15,DQAF_Input!$Z$2:$Z$170,0)),"")</f>
        <v/>
      </c>
      <c r="B16" s="4" t="str">
        <f>IF($A16="","",IF(IFERROR(VLOOKUP($A16,__rbp_p!$A:$B,2,FALSE),"")&lt;&gt;"",IFERROR(VLOOKUP($A16,__rbp_p!$A:$B,2,FALSE),""),IFERROR(INDEX(DQAF_Input!$F$2:$F$170,MATCH(15,DQAF_Input!$Z$2:$Z$170,0)),"")))</f>
        <v/>
      </c>
      <c r="C16" s="4" t="str">
        <f>IF($A16="","",INDEX(DQAF_Input!$H$2:$H$170,MATCH(15,DQAF_Input!$Z$2:$Z$170,0)))</f>
        <v/>
      </c>
    </row>
    <row r="17" spans="1:3" x14ac:dyDescent="0.25">
      <c r="A17" s="10" t="str">
        <f>IFERROR(INDEX(DQAF_Input!$E$2:$E$170,MATCH(16,DQAF_Input!$Z$2:$Z$170,0)),"")</f>
        <v/>
      </c>
      <c r="B17" s="4" t="str">
        <f>IF($A17="","",IF(IFERROR(VLOOKUP($A17,__rbp_p!$A:$B,2,FALSE),"")&lt;&gt;"",IFERROR(VLOOKUP($A17,__rbp_p!$A:$B,2,FALSE),""),IFERROR(INDEX(DQAF_Input!$F$2:$F$170,MATCH(16,DQAF_Input!$Z$2:$Z$170,0)),"")))</f>
        <v/>
      </c>
      <c r="C17" s="4" t="str">
        <f>IF($A17="","",INDEX(DQAF_Input!$H$2:$H$170,MATCH(16,DQAF_Input!$Z$2:$Z$170,0)))</f>
        <v/>
      </c>
    </row>
    <row r="18" spans="1:3" x14ac:dyDescent="0.25">
      <c r="A18" s="10" t="str">
        <f>IFERROR(INDEX(DQAF_Input!$E$2:$E$170,MATCH(17,DQAF_Input!$Z$2:$Z$170,0)),"")</f>
        <v/>
      </c>
      <c r="B18" s="4" t="str">
        <f>IF($A18="","",IF(IFERROR(VLOOKUP($A18,__rbp_p!$A:$B,2,FALSE),"")&lt;&gt;"",IFERROR(VLOOKUP($A18,__rbp_p!$A:$B,2,FALSE),""),IFERROR(INDEX(DQAF_Input!$F$2:$F$170,MATCH(17,DQAF_Input!$Z$2:$Z$170,0)),"")))</f>
        <v/>
      </c>
      <c r="C18" s="4" t="str">
        <f>IF($A18="","",INDEX(DQAF_Input!$H$2:$H$170,MATCH(17,DQAF_Input!$Z$2:$Z$170,0)))</f>
        <v/>
      </c>
    </row>
    <row r="19" spans="1:3" x14ac:dyDescent="0.25">
      <c r="A19" s="10" t="str">
        <f>IFERROR(INDEX(DQAF_Input!$E$2:$E$170,MATCH(18,DQAF_Input!$Z$2:$Z$170,0)),"")</f>
        <v/>
      </c>
      <c r="B19" s="4" t="str">
        <f>IF($A19="","",IF(IFERROR(VLOOKUP($A19,__rbp_p!$A:$B,2,FALSE),"")&lt;&gt;"",IFERROR(VLOOKUP($A19,__rbp_p!$A:$B,2,FALSE),""),IFERROR(INDEX(DQAF_Input!$F$2:$F$170,MATCH(18,DQAF_Input!$Z$2:$Z$170,0)),"")))</f>
        <v/>
      </c>
      <c r="C19" s="4" t="str">
        <f>IF($A19="","",INDEX(DQAF_Input!$H$2:$H$170,MATCH(18,DQAF_Input!$Z$2:$Z$170,0)))</f>
        <v/>
      </c>
    </row>
    <row r="20" spans="1:3" x14ac:dyDescent="0.25">
      <c r="A20" s="10" t="str">
        <f>IFERROR(INDEX(DQAF_Input!$E$2:$E$170,MATCH(19,DQAF_Input!$Z$2:$Z$170,0)),"")</f>
        <v/>
      </c>
      <c r="B20" s="4" t="str">
        <f>IF($A20="","",IF(IFERROR(VLOOKUP($A20,__rbp_p!$A:$B,2,FALSE),"")&lt;&gt;"",IFERROR(VLOOKUP($A20,__rbp_p!$A:$B,2,FALSE),""),IFERROR(INDEX(DQAF_Input!$F$2:$F$170,MATCH(19,DQAF_Input!$Z$2:$Z$170,0)),"")))</f>
        <v/>
      </c>
      <c r="C20" s="4" t="str">
        <f>IF($A20="","",INDEX(DQAF_Input!$H$2:$H$170,MATCH(19,DQAF_Input!$Z$2:$Z$170,0)))</f>
        <v/>
      </c>
    </row>
    <row r="21" spans="1:3" x14ac:dyDescent="0.25">
      <c r="A21" s="10" t="str">
        <f>IFERROR(INDEX(DQAF_Input!$E$2:$E$170,MATCH(20,DQAF_Input!$Z$2:$Z$170,0)),"")</f>
        <v/>
      </c>
      <c r="B21" s="4" t="str">
        <f>IF($A21="","",IF(IFERROR(VLOOKUP($A21,__rbp_p!$A:$B,2,FALSE),"")&lt;&gt;"",IFERROR(VLOOKUP($A21,__rbp_p!$A:$B,2,FALSE),""),IFERROR(INDEX(DQAF_Input!$F$2:$F$170,MATCH(20,DQAF_Input!$Z$2:$Z$170,0)),"")))</f>
        <v/>
      </c>
      <c r="C21" s="4" t="str">
        <f>IF($A21="","",INDEX(DQAF_Input!$H$2:$H$170,MATCH(20,DQAF_Input!$Z$2:$Z$170,0)))</f>
        <v/>
      </c>
    </row>
    <row r="22" spans="1:3" x14ac:dyDescent="0.25">
      <c r="A22" s="10" t="str">
        <f>IFERROR(INDEX(DQAF_Input!$E$2:$E$170,MATCH(21,DQAF_Input!$Z$2:$Z$170,0)),"")</f>
        <v/>
      </c>
      <c r="B22" s="4" t="str">
        <f>IF($A22="","",IF(IFERROR(VLOOKUP($A22,__rbp_p!$A:$B,2,FALSE),"")&lt;&gt;"",IFERROR(VLOOKUP($A22,__rbp_p!$A:$B,2,FALSE),""),IFERROR(INDEX(DQAF_Input!$F$2:$F$170,MATCH(21,DQAF_Input!$Z$2:$Z$170,0)),"")))</f>
        <v/>
      </c>
      <c r="C22" s="4" t="str">
        <f>IF($A22="","",INDEX(DQAF_Input!$H$2:$H$170,MATCH(21,DQAF_Input!$Z$2:$Z$170,0)))</f>
        <v/>
      </c>
    </row>
    <row r="23" spans="1:3" x14ac:dyDescent="0.25">
      <c r="A23" s="10" t="str">
        <f>IFERROR(INDEX(DQAF_Input!$E$2:$E$170,MATCH(22,DQAF_Input!$Z$2:$Z$170,0)),"")</f>
        <v/>
      </c>
      <c r="B23" s="4" t="str">
        <f>IF($A23="","",IF(IFERROR(VLOOKUP($A23,__rbp_p!$A:$B,2,FALSE),"")&lt;&gt;"",IFERROR(VLOOKUP($A23,__rbp_p!$A:$B,2,FALSE),""),IFERROR(INDEX(DQAF_Input!$F$2:$F$170,MATCH(22,DQAF_Input!$Z$2:$Z$170,0)),"")))</f>
        <v/>
      </c>
      <c r="C23" s="4" t="str">
        <f>IF($A23="","",INDEX(DQAF_Input!$H$2:$H$170,MATCH(22,DQAF_Input!$Z$2:$Z$170,0)))</f>
        <v/>
      </c>
    </row>
    <row r="24" spans="1:3" x14ac:dyDescent="0.25">
      <c r="A24" s="10" t="str">
        <f>IFERROR(INDEX(DQAF_Input!$E$2:$E$170,MATCH(23,DQAF_Input!$Z$2:$Z$170,0)),"")</f>
        <v/>
      </c>
      <c r="B24" s="4" t="str">
        <f>IF($A24="","",IF(IFERROR(VLOOKUP($A24,__rbp_p!$A:$B,2,FALSE),"")&lt;&gt;"",IFERROR(VLOOKUP($A24,__rbp_p!$A:$B,2,FALSE),""),IFERROR(INDEX(DQAF_Input!$F$2:$F$170,MATCH(23,DQAF_Input!$Z$2:$Z$170,0)),"")))</f>
        <v/>
      </c>
      <c r="C24" s="4" t="str">
        <f>IF($A24="","",INDEX(DQAF_Input!$H$2:$H$170,MATCH(23,DQAF_Input!$Z$2:$Z$170,0)))</f>
        <v/>
      </c>
    </row>
    <row r="25" spans="1:3" x14ac:dyDescent="0.25">
      <c r="A25" s="10" t="str">
        <f>IFERROR(INDEX(DQAF_Input!$E$2:$E$170,MATCH(24,DQAF_Input!$Z$2:$Z$170,0)),"")</f>
        <v/>
      </c>
      <c r="B25" s="4" t="str">
        <f>IF($A25="","",IF(IFERROR(VLOOKUP($A25,__rbp_p!$A:$B,2,FALSE),"")&lt;&gt;"",IFERROR(VLOOKUP($A25,__rbp_p!$A:$B,2,FALSE),""),IFERROR(INDEX(DQAF_Input!$F$2:$F$170,MATCH(24,DQAF_Input!$Z$2:$Z$170,0)),"")))</f>
        <v/>
      </c>
      <c r="C25" s="4" t="str">
        <f>IF($A25="","",INDEX(DQAF_Input!$H$2:$H$170,MATCH(24,DQAF_Input!$Z$2:$Z$170,0)))</f>
        <v/>
      </c>
    </row>
    <row r="26" spans="1:3" x14ac:dyDescent="0.25">
      <c r="A26" s="10" t="str">
        <f>IFERROR(INDEX(DQAF_Input!$E$2:$E$170,MATCH(25,DQAF_Input!$Z$2:$Z$170,0)),"")</f>
        <v/>
      </c>
      <c r="B26" s="4" t="str">
        <f>IF($A26="","",IF(IFERROR(VLOOKUP($A26,__rbp_p!$A:$B,2,FALSE),"")&lt;&gt;"",IFERROR(VLOOKUP($A26,__rbp_p!$A:$B,2,FALSE),""),IFERROR(INDEX(DQAF_Input!$F$2:$F$170,MATCH(25,DQAF_Input!$Z$2:$Z$170,0)),"")))</f>
        <v/>
      </c>
      <c r="C26" s="4" t="str">
        <f>IF($A26="","",INDEX(DQAF_Input!$H$2:$H$170,MATCH(25,DQAF_Input!$Z$2:$Z$170,0)))</f>
        <v/>
      </c>
    </row>
    <row r="27" spans="1:3" x14ac:dyDescent="0.25">
      <c r="A27" s="10" t="str">
        <f>IFERROR(INDEX(DQAF_Input!$E$2:$E$170,MATCH(26,DQAF_Input!$Z$2:$Z$170,0)),"")</f>
        <v/>
      </c>
      <c r="B27" s="4" t="str">
        <f>IF($A27="","",IF(IFERROR(VLOOKUP($A27,__rbp_p!$A:$B,2,FALSE),"")&lt;&gt;"",IFERROR(VLOOKUP($A27,__rbp_p!$A:$B,2,FALSE),""),IFERROR(INDEX(DQAF_Input!$F$2:$F$170,MATCH(26,DQAF_Input!$Z$2:$Z$170,0)),"")))</f>
        <v/>
      </c>
      <c r="C27" s="4" t="str">
        <f>IF($A27="","",INDEX(DQAF_Input!$H$2:$H$170,MATCH(26,DQAF_Input!$Z$2:$Z$170,0)))</f>
        <v/>
      </c>
    </row>
    <row r="28" spans="1:3" x14ac:dyDescent="0.25">
      <c r="A28" s="10" t="str">
        <f>IFERROR(INDEX(DQAF_Input!$E$2:$E$170,MATCH(27,DQAF_Input!$Z$2:$Z$170,0)),"")</f>
        <v/>
      </c>
      <c r="B28" s="4" t="str">
        <f>IF($A28="","",IF(IFERROR(VLOOKUP($A28,__rbp_p!$A:$B,2,FALSE),"")&lt;&gt;"",IFERROR(VLOOKUP($A28,__rbp_p!$A:$B,2,FALSE),""),IFERROR(INDEX(DQAF_Input!$F$2:$F$170,MATCH(27,DQAF_Input!$Z$2:$Z$170,0)),"")))</f>
        <v/>
      </c>
      <c r="C28" s="4" t="str">
        <f>IF($A28="","",INDEX(DQAF_Input!$H$2:$H$170,MATCH(27,DQAF_Input!$Z$2:$Z$170,0)))</f>
        <v/>
      </c>
    </row>
    <row r="29" spans="1:3" x14ac:dyDescent="0.25">
      <c r="A29" s="10" t="str">
        <f>IFERROR(INDEX(DQAF_Input!$E$2:$E$170,MATCH(28,DQAF_Input!$Z$2:$Z$170,0)),"")</f>
        <v/>
      </c>
      <c r="B29" s="4" t="str">
        <f>IF($A29="","",IF(IFERROR(VLOOKUP($A29,__rbp_p!$A:$B,2,FALSE),"")&lt;&gt;"",IFERROR(VLOOKUP($A29,__rbp_p!$A:$B,2,FALSE),""),IFERROR(INDEX(DQAF_Input!$F$2:$F$170,MATCH(28,DQAF_Input!$Z$2:$Z$170,0)),"")))</f>
        <v/>
      </c>
      <c r="C29" s="4" t="str">
        <f>IF($A29="","",INDEX(DQAF_Input!$H$2:$H$170,MATCH(28,DQAF_Input!$Z$2:$Z$170,0)))</f>
        <v/>
      </c>
    </row>
    <row r="30" spans="1:3" x14ac:dyDescent="0.25">
      <c r="A30" s="10" t="str">
        <f>IFERROR(INDEX(DQAF_Input!$E$2:$E$170,MATCH(29,DQAF_Input!$Z$2:$Z$170,0)),"")</f>
        <v/>
      </c>
      <c r="B30" s="4" t="str">
        <f>IF($A30="","",IF(IFERROR(VLOOKUP($A30,__rbp_p!$A:$B,2,FALSE),"")&lt;&gt;"",IFERROR(VLOOKUP($A30,__rbp_p!$A:$B,2,FALSE),""),IFERROR(INDEX(DQAF_Input!$F$2:$F$170,MATCH(29,DQAF_Input!$Z$2:$Z$170,0)),"")))</f>
        <v/>
      </c>
      <c r="C30" s="4" t="str">
        <f>IF($A30="","",INDEX(DQAF_Input!$H$2:$H$170,MATCH(29,DQAF_Input!$Z$2:$Z$170,0)))</f>
        <v/>
      </c>
    </row>
    <row r="31" spans="1:3" x14ac:dyDescent="0.25">
      <c r="A31" s="10" t="str">
        <f>IFERROR(INDEX(DQAF_Input!$E$2:$E$170,MATCH(30,DQAF_Input!$Z$2:$Z$170,0)),"")</f>
        <v/>
      </c>
      <c r="B31" s="4" t="str">
        <f>IF($A31="","",IF(IFERROR(VLOOKUP($A31,__rbp_p!$A:$B,2,FALSE),"")&lt;&gt;"",IFERROR(VLOOKUP($A31,__rbp_p!$A:$B,2,FALSE),""),IFERROR(INDEX(DQAF_Input!$F$2:$F$170,MATCH(30,DQAF_Input!$Z$2:$Z$170,0)),"")))</f>
        <v/>
      </c>
      <c r="C31" s="4" t="str">
        <f>IF($A31="","",INDEX(DQAF_Input!$H$2:$H$170,MATCH(30,DQAF_Input!$Z$2:$Z$170,0)))</f>
        <v/>
      </c>
    </row>
    <row r="32" spans="1:3" x14ac:dyDescent="0.25">
      <c r="A32" s="10" t="str">
        <f>IFERROR(INDEX(DQAF_Input!$E$2:$E$170,MATCH(31,DQAF_Input!$Z$2:$Z$170,0)),"")</f>
        <v/>
      </c>
      <c r="B32" s="4" t="str">
        <f>IF($A32="","",IF(IFERROR(VLOOKUP($A32,__rbp_p!$A:$B,2,FALSE),"")&lt;&gt;"",IFERROR(VLOOKUP($A32,__rbp_p!$A:$B,2,FALSE),""),IFERROR(INDEX(DQAF_Input!$F$2:$F$170,MATCH(31,DQAF_Input!$Z$2:$Z$170,0)),"")))</f>
        <v/>
      </c>
      <c r="C32" s="4" t="str">
        <f>IF($A32="","",INDEX(DQAF_Input!$H$2:$H$170,MATCH(31,DQAF_Input!$Z$2:$Z$170,0)))</f>
        <v/>
      </c>
    </row>
    <row r="33" spans="1:3" x14ac:dyDescent="0.25">
      <c r="A33" s="10" t="str">
        <f>IFERROR(INDEX(DQAF_Input!$E$2:$E$170,MATCH(32,DQAF_Input!$Z$2:$Z$170,0)),"")</f>
        <v/>
      </c>
      <c r="B33" s="4" t="str">
        <f>IF($A33="","",IF(IFERROR(VLOOKUP($A33,__rbp_p!$A:$B,2,FALSE),"")&lt;&gt;"",IFERROR(VLOOKUP($A33,__rbp_p!$A:$B,2,FALSE),""),IFERROR(INDEX(DQAF_Input!$F$2:$F$170,MATCH(32,DQAF_Input!$Z$2:$Z$170,0)),"")))</f>
        <v/>
      </c>
      <c r="C33" s="4" t="str">
        <f>IF($A33="","",INDEX(DQAF_Input!$H$2:$H$170,MATCH(32,DQAF_Input!$Z$2:$Z$170,0)))</f>
        <v/>
      </c>
    </row>
    <row r="34" spans="1:3" x14ac:dyDescent="0.25">
      <c r="A34" s="10" t="str">
        <f>IFERROR(INDEX(DQAF_Input!$E$2:$E$170,MATCH(33,DQAF_Input!$Z$2:$Z$170,0)),"")</f>
        <v/>
      </c>
      <c r="B34" s="4" t="str">
        <f>IF($A34="","",IF(IFERROR(VLOOKUP($A34,__rbp_p!$A:$B,2,FALSE),"")&lt;&gt;"",IFERROR(VLOOKUP($A34,__rbp_p!$A:$B,2,FALSE),""),IFERROR(INDEX(DQAF_Input!$F$2:$F$170,MATCH(33,DQAF_Input!$Z$2:$Z$170,0)),"")))</f>
        <v/>
      </c>
      <c r="C34" s="4" t="str">
        <f>IF($A34="","",INDEX(DQAF_Input!$H$2:$H$170,MATCH(33,DQAF_Input!$Z$2:$Z$170,0)))</f>
        <v/>
      </c>
    </row>
    <row r="35" spans="1:3" x14ac:dyDescent="0.25">
      <c r="A35" s="10" t="str">
        <f>IFERROR(INDEX(DQAF_Input!$E$2:$E$170,MATCH(34,DQAF_Input!$Z$2:$Z$170,0)),"")</f>
        <v/>
      </c>
      <c r="B35" s="4" t="str">
        <f>IF($A35="","",IF(IFERROR(VLOOKUP($A35,__rbp_p!$A:$B,2,FALSE),"")&lt;&gt;"",IFERROR(VLOOKUP($A35,__rbp_p!$A:$B,2,FALSE),""),IFERROR(INDEX(DQAF_Input!$F$2:$F$170,MATCH(34,DQAF_Input!$Z$2:$Z$170,0)),"")))</f>
        <v/>
      </c>
      <c r="C35" s="4" t="str">
        <f>IF($A35="","",INDEX(DQAF_Input!$H$2:$H$170,MATCH(34,DQAF_Input!$Z$2:$Z$170,0)))</f>
        <v/>
      </c>
    </row>
    <row r="36" spans="1:3" x14ac:dyDescent="0.25">
      <c r="A36" s="10" t="str">
        <f>IFERROR(INDEX(DQAF_Input!$E$2:$E$170,MATCH(35,DQAF_Input!$Z$2:$Z$170,0)),"")</f>
        <v/>
      </c>
      <c r="B36" s="4" t="str">
        <f>IF($A36="","",IF(IFERROR(VLOOKUP($A36,__rbp_p!$A:$B,2,FALSE),"")&lt;&gt;"",IFERROR(VLOOKUP($A36,__rbp_p!$A:$B,2,FALSE),""),IFERROR(INDEX(DQAF_Input!$F$2:$F$170,MATCH(35,DQAF_Input!$Z$2:$Z$170,0)),"")))</f>
        <v/>
      </c>
      <c r="C36" s="4" t="str">
        <f>IF($A36="","",INDEX(DQAF_Input!$H$2:$H$170,MATCH(35,DQAF_Input!$Z$2:$Z$170,0)))</f>
        <v/>
      </c>
    </row>
    <row r="37" spans="1:3" x14ac:dyDescent="0.25">
      <c r="A37" s="10" t="str">
        <f>IFERROR(INDEX(DQAF_Input!$E$2:$E$170,MATCH(36,DQAF_Input!$Z$2:$Z$170,0)),"")</f>
        <v/>
      </c>
      <c r="B37" s="4" t="str">
        <f>IF($A37="","",IF(IFERROR(VLOOKUP($A37,__rbp_p!$A:$B,2,FALSE),"")&lt;&gt;"",IFERROR(VLOOKUP($A37,__rbp_p!$A:$B,2,FALSE),""),IFERROR(INDEX(DQAF_Input!$F$2:$F$170,MATCH(36,DQAF_Input!$Z$2:$Z$170,0)),"")))</f>
        <v/>
      </c>
      <c r="C37" s="4" t="str">
        <f>IF($A37="","",INDEX(DQAF_Input!$H$2:$H$170,MATCH(36,DQAF_Input!$Z$2:$Z$170,0)))</f>
        <v/>
      </c>
    </row>
    <row r="38" spans="1:3" x14ac:dyDescent="0.25">
      <c r="A38" s="10" t="str">
        <f>IFERROR(INDEX(DQAF_Input!$E$2:$E$170,MATCH(37,DQAF_Input!$Z$2:$Z$170,0)),"")</f>
        <v/>
      </c>
      <c r="B38" s="4" t="str">
        <f>IF($A38="","",IF(IFERROR(VLOOKUP($A38,__rbp_p!$A:$B,2,FALSE),"")&lt;&gt;"",IFERROR(VLOOKUP($A38,__rbp_p!$A:$B,2,FALSE),""),IFERROR(INDEX(DQAF_Input!$F$2:$F$170,MATCH(37,DQAF_Input!$Z$2:$Z$170,0)),"")))</f>
        <v/>
      </c>
      <c r="C38" s="4" t="str">
        <f>IF($A38="","",INDEX(DQAF_Input!$H$2:$H$170,MATCH(37,DQAF_Input!$Z$2:$Z$170,0)))</f>
        <v/>
      </c>
    </row>
    <row r="39" spans="1:3" x14ac:dyDescent="0.25">
      <c r="A39" s="10" t="str">
        <f>IFERROR(INDEX(DQAF_Input!$E$2:$E$170,MATCH(38,DQAF_Input!$Z$2:$Z$170,0)),"")</f>
        <v/>
      </c>
      <c r="B39" s="4" t="str">
        <f>IF($A39="","",IF(IFERROR(VLOOKUP($A39,__rbp_p!$A:$B,2,FALSE),"")&lt;&gt;"",IFERROR(VLOOKUP($A39,__rbp_p!$A:$B,2,FALSE),""),IFERROR(INDEX(DQAF_Input!$F$2:$F$170,MATCH(38,DQAF_Input!$Z$2:$Z$170,0)),"")))</f>
        <v/>
      </c>
      <c r="C39" s="4" t="str">
        <f>IF($A39="","",INDEX(DQAF_Input!$H$2:$H$170,MATCH(38,DQAF_Input!$Z$2:$Z$170,0)))</f>
        <v/>
      </c>
    </row>
    <row r="40" spans="1:3" x14ac:dyDescent="0.25">
      <c r="A40" s="10" t="str">
        <f>IFERROR(INDEX(DQAF_Input!$E$2:$E$170,MATCH(39,DQAF_Input!$Z$2:$Z$170,0)),"")</f>
        <v/>
      </c>
      <c r="B40" s="4" t="str">
        <f>IF($A40="","",IF(IFERROR(VLOOKUP($A40,__rbp_p!$A:$B,2,FALSE),"")&lt;&gt;"",IFERROR(VLOOKUP($A40,__rbp_p!$A:$B,2,FALSE),""),IFERROR(INDEX(DQAF_Input!$F$2:$F$170,MATCH(39,DQAF_Input!$Z$2:$Z$170,0)),"")))</f>
        <v/>
      </c>
      <c r="C40" s="4" t="str">
        <f>IF($A40="","",INDEX(DQAF_Input!$H$2:$H$170,MATCH(39,DQAF_Input!$Z$2:$Z$170,0)))</f>
        <v/>
      </c>
    </row>
    <row r="41" spans="1:3" x14ac:dyDescent="0.25">
      <c r="A41" s="10" t="str">
        <f>IFERROR(INDEX(DQAF_Input!$E$2:$E$170,MATCH(40,DQAF_Input!$Z$2:$Z$170,0)),"")</f>
        <v/>
      </c>
      <c r="B41" s="4" t="str">
        <f>IF($A41="","",IF(IFERROR(VLOOKUP($A41,__rbp_p!$A:$B,2,FALSE),"")&lt;&gt;"",IFERROR(VLOOKUP($A41,__rbp_p!$A:$B,2,FALSE),""),IFERROR(INDEX(DQAF_Input!$F$2:$F$170,MATCH(40,DQAF_Input!$Z$2:$Z$170,0)),"")))</f>
        <v/>
      </c>
      <c r="C41" s="4" t="str">
        <f>IF($A41="","",INDEX(DQAF_Input!$H$2:$H$170,MATCH(40,DQAF_Input!$Z$2:$Z$170,0)))</f>
        <v/>
      </c>
    </row>
    <row r="42" spans="1:3" x14ac:dyDescent="0.25">
      <c r="A42" s="10" t="str">
        <f>IFERROR(INDEX(DQAF_Input!$E$2:$E$170,MATCH(41,DQAF_Input!$Z$2:$Z$170,0)),"")</f>
        <v/>
      </c>
      <c r="B42" s="4" t="str">
        <f>IF($A42="","",IF(IFERROR(VLOOKUP($A42,__rbp_p!$A:$B,2,FALSE),"")&lt;&gt;"",IFERROR(VLOOKUP($A42,__rbp_p!$A:$B,2,FALSE),""),IFERROR(INDEX(DQAF_Input!$F$2:$F$170,MATCH(41,DQAF_Input!$Z$2:$Z$170,0)),"")))</f>
        <v/>
      </c>
      <c r="C42" s="4" t="str">
        <f>IF($A42="","",INDEX(DQAF_Input!$H$2:$H$170,MATCH(41,DQAF_Input!$Z$2:$Z$170,0)))</f>
        <v/>
      </c>
    </row>
    <row r="43" spans="1:3" x14ac:dyDescent="0.25">
      <c r="A43" s="10" t="str">
        <f>IFERROR(INDEX(DQAF_Input!$E$2:$E$170,MATCH(42,DQAF_Input!$Z$2:$Z$170,0)),"")</f>
        <v/>
      </c>
      <c r="B43" s="4" t="str">
        <f>IF($A43="","",IF(IFERROR(VLOOKUP($A43,__rbp_p!$A:$B,2,FALSE),"")&lt;&gt;"",IFERROR(VLOOKUP($A43,__rbp_p!$A:$B,2,FALSE),""),IFERROR(INDEX(DQAF_Input!$F$2:$F$170,MATCH(42,DQAF_Input!$Z$2:$Z$170,0)),"")))</f>
        <v/>
      </c>
      <c r="C43" s="4" t="str">
        <f>IF($A43="","",INDEX(DQAF_Input!$H$2:$H$170,MATCH(42,DQAF_Input!$Z$2:$Z$170,0)))</f>
        <v/>
      </c>
    </row>
    <row r="44" spans="1:3" x14ac:dyDescent="0.25">
      <c r="A44" s="10" t="str">
        <f>IFERROR(INDEX(DQAF_Input!$E$2:$E$170,MATCH(43,DQAF_Input!$Z$2:$Z$170,0)),"")</f>
        <v/>
      </c>
      <c r="B44" s="4" t="str">
        <f>IF($A44="","",IF(IFERROR(VLOOKUP($A44,__rbp_p!$A:$B,2,FALSE),"")&lt;&gt;"",IFERROR(VLOOKUP($A44,__rbp_p!$A:$B,2,FALSE),""),IFERROR(INDEX(DQAF_Input!$F$2:$F$170,MATCH(43,DQAF_Input!$Z$2:$Z$170,0)),"")))</f>
        <v/>
      </c>
      <c r="C44" s="4" t="str">
        <f>IF($A44="","",INDEX(DQAF_Input!$H$2:$H$170,MATCH(43,DQAF_Input!$Z$2:$Z$170,0)))</f>
        <v/>
      </c>
    </row>
    <row r="45" spans="1:3" x14ac:dyDescent="0.25">
      <c r="A45" s="10" t="str">
        <f>IFERROR(INDEX(DQAF_Input!$E$2:$E$170,MATCH(44,DQAF_Input!$Z$2:$Z$170,0)),"")</f>
        <v/>
      </c>
      <c r="B45" s="4" t="str">
        <f>IF($A45="","",IF(IFERROR(VLOOKUP($A45,__rbp_p!$A:$B,2,FALSE),"")&lt;&gt;"",IFERROR(VLOOKUP($A45,__rbp_p!$A:$B,2,FALSE),""),IFERROR(INDEX(DQAF_Input!$F$2:$F$170,MATCH(44,DQAF_Input!$Z$2:$Z$170,0)),"")))</f>
        <v/>
      </c>
      <c r="C45" s="4" t="str">
        <f>IF($A45="","",INDEX(DQAF_Input!$H$2:$H$170,MATCH(44,DQAF_Input!$Z$2:$Z$170,0)))</f>
        <v/>
      </c>
    </row>
    <row r="46" spans="1:3" x14ac:dyDescent="0.25">
      <c r="A46" s="10" t="str">
        <f>IFERROR(INDEX(DQAF_Input!$E$2:$E$170,MATCH(45,DQAF_Input!$Z$2:$Z$170,0)),"")</f>
        <v/>
      </c>
      <c r="B46" s="4" t="str">
        <f>IF($A46="","",IF(IFERROR(VLOOKUP($A46,__rbp_p!$A:$B,2,FALSE),"")&lt;&gt;"",IFERROR(VLOOKUP($A46,__rbp_p!$A:$B,2,FALSE),""),IFERROR(INDEX(DQAF_Input!$F$2:$F$170,MATCH(45,DQAF_Input!$Z$2:$Z$170,0)),"")))</f>
        <v/>
      </c>
      <c r="C46" s="4" t="str">
        <f>IF($A46="","",INDEX(DQAF_Input!$H$2:$H$170,MATCH(45,DQAF_Input!$Z$2:$Z$170,0)))</f>
        <v/>
      </c>
    </row>
    <row r="47" spans="1:3" x14ac:dyDescent="0.25">
      <c r="A47" s="10" t="str">
        <f>IFERROR(INDEX(DQAF_Input!$E$2:$E$170,MATCH(46,DQAF_Input!$Z$2:$Z$170,0)),"")</f>
        <v/>
      </c>
      <c r="B47" s="4" t="str">
        <f>IF($A47="","",IF(IFERROR(VLOOKUP($A47,__rbp_p!$A:$B,2,FALSE),"")&lt;&gt;"",IFERROR(VLOOKUP($A47,__rbp_p!$A:$B,2,FALSE),""),IFERROR(INDEX(DQAF_Input!$F$2:$F$170,MATCH(46,DQAF_Input!$Z$2:$Z$170,0)),"")))</f>
        <v/>
      </c>
      <c r="C47" s="4" t="str">
        <f>IF($A47="","",INDEX(DQAF_Input!$H$2:$H$170,MATCH(46,DQAF_Input!$Z$2:$Z$170,0)))</f>
        <v/>
      </c>
    </row>
    <row r="48" spans="1:3" x14ac:dyDescent="0.25">
      <c r="A48" s="10" t="str">
        <f>IFERROR(INDEX(DQAF_Input!$E$2:$E$170,MATCH(47,DQAF_Input!$Z$2:$Z$170,0)),"")</f>
        <v/>
      </c>
      <c r="B48" s="4" t="str">
        <f>IF($A48="","",IF(IFERROR(VLOOKUP($A48,__rbp_p!$A:$B,2,FALSE),"")&lt;&gt;"",IFERROR(VLOOKUP($A48,__rbp_p!$A:$B,2,FALSE),""),IFERROR(INDEX(DQAF_Input!$F$2:$F$170,MATCH(47,DQAF_Input!$Z$2:$Z$170,0)),"")))</f>
        <v/>
      </c>
      <c r="C48" s="4" t="str">
        <f>IF($A48="","",INDEX(DQAF_Input!$H$2:$H$170,MATCH(47,DQAF_Input!$Z$2:$Z$170,0)))</f>
        <v/>
      </c>
    </row>
    <row r="49" spans="1:3" x14ac:dyDescent="0.25">
      <c r="A49" s="10" t="str">
        <f>IFERROR(INDEX(DQAF_Input!$E$2:$E$170,MATCH(48,DQAF_Input!$Z$2:$Z$170,0)),"")</f>
        <v/>
      </c>
      <c r="B49" s="4" t="str">
        <f>IF($A49="","",IF(IFERROR(VLOOKUP($A49,__rbp_p!$A:$B,2,FALSE),"")&lt;&gt;"",IFERROR(VLOOKUP($A49,__rbp_p!$A:$B,2,FALSE),""),IFERROR(INDEX(DQAF_Input!$F$2:$F$170,MATCH(48,DQAF_Input!$Z$2:$Z$170,0)),"")))</f>
        <v/>
      </c>
      <c r="C49" s="4" t="str">
        <f>IF($A49="","",INDEX(DQAF_Input!$H$2:$H$170,MATCH(48,DQAF_Input!$Z$2:$Z$170,0)))</f>
        <v/>
      </c>
    </row>
    <row r="50" spans="1:3" x14ac:dyDescent="0.25">
      <c r="A50" s="10" t="str">
        <f>IFERROR(INDEX(DQAF_Input!$E$2:$E$170,MATCH(49,DQAF_Input!$Z$2:$Z$170,0)),"")</f>
        <v/>
      </c>
      <c r="B50" s="4" t="str">
        <f>IF($A50="","",IF(IFERROR(VLOOKUP($A50,__rbp_p!$A:$B,2,FALSE),"")&lt;&gt;"",IFERROR(VLOOKUP($A50,__rbp_p!$A:$B,2,FALSE),""),IFERROR(INDEX(DQAF_Input!$F$2:$F$170,MATCH(49,DQAF_Input!$Z$2:$Z$170,0)),"")))</f>
        <v/>
      </c>
      <c r="C50" s="4" t="str">
        <f>IF($A50="","",INDEX(DQAF_Input!$H$2:$H$170,MATCH(49,DQAF_Input!$Z$2:$Z$170,0)))</f>
        <v/>
      </c>
    </row>
    <row r="51" spans="1:3" x14ac:dyDescent="0.25">
      <c r="A51" s="10" t="str">
        <f>IFERROR(INDEX(DQAF_Input!$E$2:$E$170,MATCH(50,DQAF_Input!$Z$2:$Z$170,0)),"")</f>
        <v/>
      </c>
      <c r="B51" s="4" t="str">
        <f>IF($A51="","",IF(IFERROR(VLOOKUP($A51,__rbp_p!$A:$B,2,FALSE),"")&lt;&gt;"",IFERROR(VLOOKUP($A51,__rbp_p!$A:$B,2,FALSE),""),IFERROR(INDEX(DQAF_Input!$F$2:$F$170,MATCH(50,DQAF_Input!$Z$2:$Z$170,0)),"")))</f>
        <v/>
      </c>
      <c r="C51" s="4" t="str">
        <f>IF($A51="","",INDEX(DQAF_Input!$H$2:$H$170,MATCH(50,DQAF_Input!$Z$2:$Z$170,0)))</f>
        <v/>
      </c>
    </row>
    <row r="52" spans="1:3" x14ac:dyDescent="0.25">
      <c r="A52" s="10" t="str">
        <f>IFERROR(INDEX(DQAF_Input!$E$2:$E$170,MATCH(51,DQAF_Input!$Z$2:$Z$170,0)),"")</f>
        <v/>
      </c>
      <c r="B52" s="4" t="str">
        <f>IF($A52="","",IF(IFERROR(VLOOKUP($A52,__rbp_p!$A:$B,2,FALSE),"")&lt;&gt;"",IFERROR(VLOOKUP($A52,__rbp_p!$A:$B,2,FALSE),""),IFERROR(INDEX(DQAF_Input!$F$2:$F$170,MATCH(51,DQAF_Input!$Z$2:$Z$170,0)),"")))</f>
        <v/>
      </c>
      <c r="C52" s="4" t="str">
        <f>IF($A52="","",INDEX(DQAF_Input!$H$2:$H$170,MATCH(51,DQAF_Input!$Z$2:$Z$170,0)))</f>
        <v/>
      </c>
    </row>
    <row r="53" spans="1:3" x14ac:dyDescent="0.25">
      <c r="A53" s="10" t="str">
        <f>IFERROR(INDEX(DQAF_Input!$E$2:$E$170,MATCH(52,DQAF_Input!$Z$2:$Z$170,0)),"")</f>
        <v/>
      </c>
      <c r="B53" s="4" t="str">
        <f>IF($A53="","",IF(IFERROR(VLOOKUP($A53,__rbp_p!$A:$B,2,FALSE),"")&lt;&gt;"",IFERROR(VLOOKUP($A53,__rbp_p!$A:$B,2,FALSE),""),IFERROR(INDEX(DQAF_Input!$F$2:$F$170,MATCH(52,DQAF_Input!$Z$2:$Z$170,0)),"")))</f>
        <v/>
      </c>
      <c r="C53" s="4" t="str">
        <f>IF($A53="","",INDEX(DQAF_Input!$H$2:$H$170,MATCH(52,DQAF_Input!$Z$2:$Z$170,0)))</f>
        <v/>
      </c>
    </row>
    <row r="54" spans="1:3" x14ac:dyDescent="0.25">
      <c r="A54" s="10" t="str">
        <f>IFERROR(INDEX(DQAF_Input!$E$2:$E$170,MATCH(53,DQAF_Input!$Z$2:$Z$170,0)),"")</f>
        <v/>
      </c>
      <c r="B54" s="4" t="str">
        <f>IF($A54="","",IF(IFERROR(VLOOKUP($A54,__rbp_p!$A:$B,2,FALSE),"")&lt;&gt;"",IFERROR(VLOOKUP($A54,__rbp_p!$A:$B,2,FALSE),""),IFERROR(INDEX(DQAF_Input!$F$2:$F$170,MATCH(53,DQAF_Input!$Z$2:$Z$170,0)),"")))</f>
        <v/>
      </c>
      <c r="C54" s="4" t="str">
        <f>IF($A54="","",INDEX(DQAF_Input!$H$2:$H$170,MATCH(53,DQAF_Input!$Z$2:$Z$170,0)))</f>
        <v/>
      </c>
    </row>
    <row r="55" spans="1:3" x14ac:dyDescent="0.25">
      <c r="A55" s="10" t="str">
        <f>IFERROR(INDEX(DQAF_Input!$E$2:$E$170,MATCH(54,DQAF_Input!$Z$2:$Z$170,0)),"")</f>
        <v/>
      </c>
      <c r="B55" s="4" t="str">
        <f>IF($A55="","",IF(IFERROR(VLOOKUP($A55,__rbp_p!$A:$B,2,FALSE),"")&lt;&gt;"",IFERROR(VLOOKUP($A55,__rbp_p!$A:$B,2,FALSE),""),IFERROR(INDEX(DQAF_Input!$F$2:$F$170,MATCH(54,DQAF_Input!$Z$2:$Z$170,0)),"")))</f>
        <v/>
      </c>
      <c r="C55" s="4" t="str">
        <f>IF($A55="","",INDEX(DQAF_Input!$H$2:$H$170,MATCH(54,DQAF_Input!$Z$2:$Z$170,0)))</f>
        <v/>
      </c>
    </row>
    <row r="56" spans="1:3" x14ac:dyDescent="0.25">
      <c r="A56" s="10" t="str">
        <f>IFERROR(INDEX(DQAF_Input!$E$2:$E$170,MATCH(55,DQAF_Input!$Z$2:$Z$170,0)),"")</f>
        <v/>
      </c>
      <c r="B56" s="4" t="str">
        <f>IF($A56="","",IF(IFERROR(VLOOKUP($A56,__rbp_p!$A:$B,2,FALSE),"")&lt;&gt;"",IFERROR(VLOOKUP($A56,__rbp_p!$A:$B,2,FALSE),""),IFERROR(INDEX(DQAF_Input!$F$2:$F$170,MATCH(55,DQAF_Input!$Z$2:$Z$170,0)),"")))</f>
        <v/>
      </c>
      <c r="C56" s="4" t="str">
        <f>IF($A56="","",INDEX(DQAF_Input!$H$2:$H$170,MATCH(55,DQAF_Input!$Z$2:$Z$170,0)))</f>
        <v/>
      </c>
    </row>
    <row r="57" spans="1:3" x14ac:dyDescent="0.25">
      <c r="A57" s="10" t="str">
        <f>IFERROR(INDEX(DQAF_Input!$E$2:$E$170,MATCH(56,DQAF_Input!$Z$2:$Z$170,0)),"")</f>
        <v/>
      </c>
      <c r="B57" s="4" t="str">
        <f>IF($A57="","",IF(IFERROR(VLOOKUP($A57,__rbp_p!$A:$B,2,FALSE),"")&lt;&gt;"",IFERROR(VLOOKUP($A57,__rbp_p!$A:$B,2,FALSE),""),IFERROR(INDEX(DQAF_Input!$F$2:$F$170,MATCH(56,DQAF_Input!$Z$2:$Z$170,0)),"")))</f>
        <v/>
      </c>
      <c r="C57" s="4" t="str">
        <f>IF($A57="","",INDEX(DQAF_Input!$H$2:$H$170,MATCH(56,DQAF_Input!$Z$2:$Z$170,0)))</f>
        <v/>
      </c>
    </row>
    <row r="58" spans="1:3" x14ac:dyDescent="0.25">
      <c r="A58" s="10" t="str">
        <f>IFERROR(INDEX(DQAF_Input!$E$2:$E$170,MATCH(57,DQAF_Input!$Z$2:$Z$170,0)),"")</f>
        <v/>
      </c>
      <c r="B58" s="4" t="str">
        <f>IF($A58="","",IF(IFERROR(VLOOKUP($A58,__rbp_p!$A:$B,2,FALSE),"")&lt;&gt;"",IFERROR(VLOOKUP($A58,__rbp_p!$A:$B,2,FALSE),""),IFERROR(INDEX(DQAF_Input!$F$2:$F$170,MATCH(57,DQAF_Input!$Z$2:$Z$170,0)),"")))</f>
        <v/>
      </c>
      <c r="C58" s="4" t="str">
        <f>IF($A58="","",INDEX(DQAF_Input!$H$2:$H$170,MATCH(57,DQAF_Input!$Z$2:$Z$170,0)))</f>
        <v/>
      </c>
    </row>
    <row r="59" spans="1:3" x14ac:dyDescent="0.25">
      <c r="A59" s="10" t="str">
        <f>IFERROR(INDEX(DQAF_Input!$E$2:$E$170,MATCH(58,DQAF_Input!$Z$2:$Z$170,0)),"")</f>
        <v/>
      </c>
      <c r="B59" s="4" t="str">
        <f>IF($A59="","",IF(IFERROR(VLOOKUP($A59,__rbp_p!$A:$B,2,FALSE),"")&lt;&gt;"",IFERROR(VLOOKUP($A59,__rbp_p!$A:$B,2,FALSE),""),IFERROR(INDEX(DQAF_Input!$F$2:$F$170,MATCH(58,DQAF_Input!$Z$2:$Z$170,0)),"")))</f>
        <v/>
      </c>
      <c r="C59" s="4" t="str">
        <f>IF($A59="","",INDEX(DQAF_Input!$H$2:$H$170,MATCH(58,DQAF_Input!$Z$2:$Z$170,0)))</f>
        <v/>
      </c>
    </row>
    <row r="60" spans="1:3" x14ac:dyDescent="0.25">
      <c r="A60" s="10" t="str">
        <f>IFERROR(INDEX(DQAF_Input!$E$2:$E$170,MATCH(59,DQAF_Input!$Z$2:$Z$170,0)),"")</f>
        <v/>
      </c>
      <c r="B60" s="4" t="str">
        <f>IF($A60="","",IF(IFERROR(VLOOKUP($A60,__rbp_p!$A:$B,2,FALSE),"")&lt;&gt;"",IFERROR(VLOOKUP($A60,__rbp_p!$A:$B,2,FALSE),""),IFERROR(INDEX(DQAF_Input!$F$2:$F$170,MATCH(59,DQAF_Input!$Z$2:$Z$170,0)),"")))</f>
        <v/>
      </c>
      <c r="C60" s="4" t="str">
        <f>IF($A60="","",INDEX(DQAF_Input!$H$2:$H$170,MATCH(59,DQAF_Input!$Z$2:$Z$170,0)))</f>
        <v/>
      </c>
    </row>
    <row r="61" spans="1:3" x14ac:dyDescent="0.25">
      <c r="A61" s="10" t="str">
        <f>IFERROR(INDEX(DQAF_Input!$E$2:$E$170,MATCH(60,DQAF_Input!$Z$2:$Z$170,0)),"")</f>
        <v/>
      </c>
      <c r="B61" s="4" t="str">
        <f>IF($A61="","",IF(IFERROR(VLOOKUP($A61,__rbp_p!$A:$B,2,FALSE),"")&lt;&gt;"",IFERROR(VLOOKUP($A61,__rbp_p!$A:$B,2,FALSE),""),IFERROR(INDEX(DQAF_Input!$F$2:$F$170,MATCH(60,DQAF_Input!$Z$2:$Z$170,0)),"")))</f>
        <v/>
      </c>
      <c r="C61" s="4" t="str">
        <f>IF($A61="","",INDEX(DQAF_Input!$H$2:$H$170,MATCH(60,DQAF_Input!$Z$2:$Z$170,0)))</f>
        <v/>
      </c>
    </row>
    <row r="62" spans="1:3" x14ac:dyDescent="0.25">
      <c r="A62" s="10" t="str">
        <f>IFERROR(INDEX(DQAF_Input!$E$2:$E$170,MATCH(61,DQAF_Input!$Z$2:$Z$170,0)),"")</f>
        <v/>
      </c>
      <c r="B62" s="4" t="str">
        <f>IF($A62="","",IF(IFERROR(VLOOKUP($A62,__rbp_p!$A:$B,2,FALSE),"")&lt;&gt;"",IFERROR(VLOOKUP($A62,__rbp_p!$A:$B,2,FALSE),""),IFERROR(INDEX(DQAF_Input!$F$2:$F$170,MATCH(61,DQAF_Input!$Z$2:$Z$170,0)),"")))</f>
        <v/>
      </c>
      <c r="C62" s="4" t="str">
        <f>IF($A62="","",INDEX(DQAF_Input!$H$2:$H$170,MATCH(61,DQAF_Input!$Z$2:$Z$170,0)))</f>
        <v/>
      </c>
    </row>
    <row r="63" spans="1:3" x14ac:dyDescent="0.25">
      <c r="A63" s="10" t="str">
        <f>IFERROR(INDEX(DQAF_Input!$E$2:$E$170,MATCH(62,DQAF_Input!$Z$2:$Z$170,0)),"")</f>
        <v/>
      </c>
      <c r="B63" s="4" t="str">
        <f>IF($A63="","",IF(IFERROR(VLOOKUP($A63,__rbp_p!$A:$B,2,FALSE),"")&lt;&gt;"",IFERROR(VLOOKUP($A63,__rbp_p!$A:$B,2,FALSE),""),IFERROR(INDEX(DQAF_Input!$F$2:$F$170,MATCH(62,DQAF_Input!$Z$2:$Z$170,0)),"")))</f>
        <v/>
      </c>
      <c r="C63" s="4" t="str">
        <f>IF($A63="","",INDEX(DQAF_Input!$H$2:$H$170,MATCH(62,DQAF_Input!$Z$2:$Z$170,0)))</f>
        <v/>
      </c>
    </row>
    <row r="64" spans="1:3" x14ac:dyDescent="0.25">
      <c r="A64" s="10" t="str">
        <f>IFERROR(INDEX(DQAF_Input!$E$2:$E$170,MATCH(63,DQAF_Input!$Z$2:$Z$170,0)),"")</f>
        <v/>
      </c>
      <c r="B64" s="4" t="str">
        <f>IF($A64="","",IF(IFERROR(VLOOKUP($A64,__rbp_p!$A:$B,2,FALSE),"")&lt;&gt;"",IFERROR(VLOOKUP($A64,__rbp_p!$A:$B,2,FALSE),""),IFERROR(INDEX(DQAF_Input!$F$2:$F$170,MATCH(63,DQAF_Input!$Z$2:$Z$170,0)),"")))</f>
        <v/>
      </c>
      <c r="C64" s="4" t="str">
        <f>IF($A64="","",INDEX(DQAF_Input!$H$2:$H$170,MATCH(63,DQAF_Input!$Z$2:$Z$170,0)))</f>
        <v/>
      </c>
    </row>
    <row r="65" spans="1:3" x14ac:dyDescent="0.25">
      <c r="A65" s="10" t="str">
        <f>IFERROR(INDEX(DQAF_Input!$E$2:$E$170,MATCH(64,DQAF_Input!$Z$2:$Z$170,0)),"")</f>
        <v/>
      </c>
      <c r="B65" s="4" t="str">
        <f>IF($A65="","",IF(IFERROR(VLOOKUP($A65,__rbp_p!$A:$B,2,FALSE),"")&lt;&gt;"",IFERROR(VLOOKUP($A65,__rbp_p!$A:$B,2,FALSE),""),IFERROR(INDEX(DQAF_Input!$F$2:$F$170,MATCH(64,DQAF_Input!$Z$2:$Z$170,0)),"")))</f>
        <v/>
      </c>
      <c r="C65" s="4" t="str">
        <f>IF($A65="","",INDEX(DQAF_Input!$H$2:$H$170,MATCH(64,DQAF_Input!$Z$2:$Z$170,0)))</f>
        <v/>
      </c>
    </row>
    <row r="66" spans="1:3" x14ac:dyDescent="0.25">
      <c r="A66" s="10" t="str">
        <f>IFERROR(INDEX(DQAF_Input!$E$2:$E$170,MATCH(65,DQAF_Input!$Z$2:$Z$170,0)),"")</f>
        <v/>
      </c>
      <c r="B66" s="4" t="str">
        <f>IF($A66="","",IF(IFERROR(VLOOKUP($A66,__rbp_p!$A:$B,2,FALSE),"")&lt;&gt;"",IFERROR(VLOOKUP($A66,__rbp_p!$A:$B,2,FALSE),""),IFERROR(INDEX(DQAF_Input!$F$2:$F$170,MATCH(65,DQAF_Input!$Z$2:$Z$170,0)),"")))</f>
        <v/>
      </c>
      <c r="C66" s="4" t="str">
        <f>IF($A66="","",INDEX(DQAF_Input!$H$2:$H$170,MATCH(65,DQAF_Input!$Z$2:$Z$170,0)))</f>
        <v/>
      </c>
    </row>
    <row r="67" spans="1:3" x14ac:dyDescent="0.25">
      <c r="A67" s="10" t="str">
        <f>IFERROR(INDEX(DQAF_Input!$E$2:$E$170,MATCH(66,DQAF_Input!$Z$2:$Z$170,0)),"")</f>
        <v/>
      </c>
      <c r="B67" s="4" t="str">
        <f>IF($A67="","",IF(IFERROR(VLOOKUP($A67,__rbp_p!$A:$B,2,FALSE),"")&lt;&gt;"",IFERROR(VLOOKUP($A67,__rbp_p!$A:$B,2,FALSE),""),IFERROR(INDEX(DQAF_Input!$F$2:$F$170,MATCH(66,DQAF_Input!$Z$2:$Z$170,0)),"")))</f>
        <v/>
      </c>
      <c r="C67" s="4" t="str">
        <f>IF($A67="","",INDEX(DQAF_Input!$H$2:$H$170,MATCH(66,DQAF_Input!$Z$2:$Z$170,0)))</f>
        <v/>
      </c>
    </row>
    <row r="68" spans="1:3" x14ac:dyDescent="0.25">
      <c r="A68" s="10" t="str">
        <f>IFERROR(INDEX(DQAF_Input!$E$2:$E$170,MATCH(67,DQAF_Input!$Z$2:$Z$170,0)),"")</f>
        <v/>
      </c>
      <c r="B68" s="4" t="str">
        <f>IF($A68="","",IF(IFERROR(VLOOKUP($A68,__rbp_p!$A:$B,2,FALSE),"")&lt;&gt;"",IFERROR(VLOOKUP($A68,__rbp_p!$A:$B,2,FALSE),""),IFERROR(INDEX(DQAF_Input!$F$2:$F$170,MATCH(67,DQAF_Input!$Z$2:$Z$170,0)),"")))</f>
        <v/>
      </c>
      <c r="C68" s="4" t="str">
        <f>IF($A68="","",INDEX(DQAF_Input!$H$2:$H$170,MATCH(67,DQAF_Input!$Z$2:$Z$170,0)))</f>
        <v/>
      </c>
    </row>
    <row r="69" spans="1:3" x14ac:dyDescent="0.25">
      <c r="A69" s="10" t="str">
        <f>IFERROR(INDEX(DQAF_Input!$E$2:$E$170,MATCH(68,DQAF_Input!$Z$2:$Z$170,0)),"")</f>
        <v/>
      </c>
      <c r="B69" s="4" t="str">
        <f>IF($A69="","",IF(IFERROR(VLOOKUP($A69,__rbp_p!$A:$B,2,FALSE),"")&lt;&gt;"",IFERROR(VLOOKUP($A69,__rbp_p!$A:$B,2,FALSE),""),IFERROR(INDEX(DQAF_Input!$F$2:$F$170,MATCH(68,DQAF_Input!$Z$2:$Z$170,0)),"")))</f>
        <v/>
      </c>
      <c r="C69" s="4" t="str">
        <f>IF($A69="","",INDEX(DQAF_Input!$H$2:$H$170,MATCH(68,DQAF_Input!$Z$2:$Z$170,0)))</f>
        <v/>
      </c>
    </row>
    <row r="70" spans="1:3" x14ac:dyDescent="0.25">
      <c r="A70" s="10" t="str">
        <f>IFERROR(INDEX(DQAF_Input!$E$2:$E$170,MATCH(69,DQAF_Input!$Z$2:$Z$170,0)),"")</f>
        <v/>
      </c>
      <c r="B70" s="4" t="str">
        <f>IF($A70="","",IF(IFERROR(VLOOKUP($A70,__rbp_p!$A:$B,2,FALSE),"")&lt;&gt;"",IFERROR(VLOOKUP($A70,__rbp_p!$A:$B,2,FALSE),""),IFERROR(INDEX(DQAF_Input!$F$2:$F$170,MATCH(69,DQAF_Input!$Z$2:$Z$170,0)),"")))</f>
        <v/>
      </c>
      <c r="C70" s="4" t="str">
        <f>IF($A70="","",INDEX(DQAF_Input!$H$2:$H$170,MATCH(69,DQAF_Input!$Z$2:$Z$170,0)))</f>
        <v/>
      </c>
    </row>
    <row r="71" spans="1:3" x14ac:dyDescent="0.25">
      <c r="A71" s="10" t="str">
        <f>IFERROR(INDEX(DQAF_Input!$E$2:$E$170,MATCH(70,DQAF_Input!$Z$2:$Z$170,0)),"")</f>
        <v/>
      </c>
      <c r="B71" s="4" t="str">
        <f>IF($A71="","",IF(IFERROR(VLOOKUP($A71,__rbp_p!$A:$B,2,FALSE),"")&lt;&gt;"",IFERROR(VLOOKUP($A71,__rbp_p!$A:$B,2,FALSE),""),IFERROR(INDEX(DQAF_Input!$F$2:$F$170,MATCH(70,DQAF_Input!$Z$2:$Z$170,0)),"")))</f>
        <v/>
      </c>
      <c r="C71" s="4" t="str">
        <f>IF($A71="","",INDEX(DQAF_Input!$H$2:$H$170,MATCH(70,DQAF_Input!$Z$2:$Z$170,0)))</f>
        <v/>
      </c>
    </row>
    <row r="72" spans="1:3" x14ac:dyDescent="0.25">
      <c r="A72" s="10" t="str">
        <f>IFERROR(INDEX(DQAF_Input!$E$2:$E$170,MATCH(71,DQAF_Input!$Z$2:$Z$170,0)),"")</f>
        <v/>
      </c>
      <c r="B72" s="4" t="str">
        <f>IF($A72="","",IF(IFERROR(VLOOKUP($A72,__rbp_p!$A:$B,2,FALSE),"")&lt;&gt;"",IFERROR(VLOOKUP($A72,__rbp_p!$A:$B,2,FALSE),""),IFERROR(INDEX(DQAF_Input!$F$2:$F$170,MATCH(71,DQAF_Input!$Z$2:$Z$170,0)),"")))</f>
        <v/>
      </c>
      <c r="C72" s="4" t="str">
        <f>IF($A72="","",INDEX(DQAF_Input!$H$2:$H$170,MATCH(71,DQAF_Input!$Z$2:$Z$170,0)))</f>
        <v/>
      </c>
    </row>
    <row r="73" spans="1:3" x14ac:dyDescent="0.25">
      <c r="A73" s="10" t="str">
        <f>IFERROR(INDEX(DQAF_Input!$E$2:$E$170,MATCH(72,DQAF_Input!$Z$2:$Z$170,0)),"")</f>
        <v/>
      </c>
      <c r="B73" s="4" t="str">
        <f>IF($A73="","",IF(IFERROR(VLOOKUP($A73,__rbp_p!$A:$B,2,FALSE),"")&lt;&gt;"",IFERROR(VLOOKUP($A73,__rbp_p!$A:$B,2,FALSE),""),IFERROR(INDEX(DQAF_Input!$F$2:$F$170,MATCH(72,DQAF_Input!$Z$2:$Z$170,0)),"")))</f>
        <v/>
      </c>
      <c r="C73" s="4" t="str">
        <f>IF($A73="","",INDEX(DQAF_Input!$H$2:$H$170,MATCH(72,DQAF_Input!$Z$2:$Z$170,0)))</f>
        <v/>
      </c>
    </row>
    <row r="74" spans="1:3" x14ac:dyDescent="0.25">
      <c r="A74" s="10" t="str">
        <f>IFERROR(INDEX(DQAF_Input!$E$2:$E$170,MATCH(73,DQAF_Input!$Z$2:$Z$170,0)),"")</f>
        <v/>
      </c>
      <c r="B74" s="4" t="str">
        <f>IF($A74="","",IF(IFERROR(VLOOKUP($A74,__rbp_p!$A:$B,2,FALSE),"")&lt;&gt;"",IFERROR(VLOOKUP($A74,__rbp_p!$A:$B,2,FALSE),""),IFERROR(INDEX(DQAF_Input!$F$2:$F$170,MATCH(73,DQAF_Input!$Z$2:$Z$170,0)),"")))</f>
        <v/>
      </c>
      <c r="C74" s="4" t="str">
        <f>IF($A74="","",INDEX(DQAF_Input!$H$2:$H$170,MATCH(73,DQAF_Input!$Z$2:$Z$170,0)))</f>
        <v/>
      </c>
    </row>
    <row r="75" spans="1:3" x14ac:dyDescent="0.25">
      <c r="A75" s="10" t="str">
        <f>IFERROR(INDEX(DQAF_Input!$E$2:$E$170,MATCH(74,DQAF_Input!$Z$2:$Z$170,0)),"")</f>
        <v/>
      </c>
      <c r="B75" s="4" t="str">
        <f>IF($A75="","",IF(IFERROR(VLOOKUP($A75,__rbp_p!$A:$B,2,FALSE),"")&lt;&gt;"",IFERROR(VLOOKUP($A75,__rbp_p!$A:$B,2,FALSE),""),IFERROR(INDEX(DQAF_Input!$F$2:$F$170,MATCH(74,DQAF_Input!$Z$2:$Z$170,0)),"")))</f>
        <v/>
      </c>
      <c r="C75" s="4" t="str">
        <f>IF($A75="","",INDEX(DQAF_Input!$H$2:$H$170,MATCH(74,DQAF_Input!$Z$2:$Z$170,0)))</f>
        <v/>
      </c>
    </row>
    <row r="76" spans="1:3" x14ac:dyDescent="0.25">
      <c r="A76" s="10" t="str">
        <f>IFERROR(INDEX(DQAF_Input!$E$2:$E$170,MATCH(75,DQAF_Input!$Z$2:$Z$170,0)),"")</f>
        <v/>
      </c>
      <c r="B76" s="4" t="str">
        <f>IF($A76="","",IF(IFERROR(VLOOKUP($A76,__rbp_p!$A:$B,2,FALSE),"")&lt;&gt;"",IFERROR(VLOOKUP($A76,__rbp_p!$A:$B,2,FALSE),""),IFERROR(INDEX(DQAF_Input!$F$2:$F$170,MATCH(75,DQAF_Input!$Z$2:$Z$170,0)),"")))</f>
        <v/>
      </c>
      <c r="C76" s="4" t="str">
        <f>IF($A76="","",INDEX(DQAF_Input!$H$2:$H$170,MATCH(75,DQAF_Input!$Z$2:$Z$170,0)))</f>
        <v/>
      </c>
    </row>
    <row r="77" spans="1:3" x14ac:dyDescent="0.25">
      <c r="A77" s="10" t="str">
        <f>IFERROR(INDEX(DQAF_Input!$E$2:$E$170,MATCH(76,DQAF_Input!$Z$2:$Z$170,0)),"")</f>
        <v/>
      </c>
      <c r="B77" s="4" t="str">
        <f>IF($A77="","",IF(IFERROR(VLOOKUP($A77,__rbp_p!$A:$B,2,FALSE),"")&lt;&gt;"",IFERROR(VLOOKUP($A77,__rbp_p!$A:$B,2,FALSE),""),IFERROR(INDEX(DQAF_Input!$F$2:$F$170,MATCH(76,DQAF_Input!$Z$2:$Z$170,0)),"")))</f>
        <v/>
      </c>
      <c r="C77" s="4" t="str">
        <f>IF($A77="","",INDEX(DQAF_Input!$H$2:$H$170,MATCH(76,DQAF_Input!$Z$2:$Z$170,0)))</f>
        <v/>
      </c>
    </row>
    <row r="78" spans="1:3" x14ac:dyDescent="0.25">
      <c r="A78" s="10" t="str">
        <f>IFERROR(INDEX(DQAF_Input!$E$2:$E$170,MATCH(77,DQAF_Input!$Z$2:$Z$170,0)),"")</f>
        <v/>
      </c>
      <c r="B78" s="4" t="str">
        <f>IF($A78="","",IF(IFERROR(VLOOKUP($A78,__rbp_p!$A:$B,2,FALSE),"")&lt;&gt;"",IFERROR(VLOOKUP($A78,__rbp_p!$A:$B,2,FALSE),""),IFERROR(INDEX(DQAF_Input!$F$2:$F$170,MATCH(77,DQAF_Input!$Z$2:$Z$170,0)),"")))</f>
        <v/>
      </c>
      <c r="C78" s="4" t="str">
        <f>IF($A78="","",INDEX(DQAF_Input!$H$2:$H$170,MATCH(77,DQAF_Input!$Z$2:$Z$170,0)))</f>
        <v/>
      </c>
    </row>
    <row r="79" spans="1:3" x14ac:dyDescent="0.25">
      <c r="A79" s="10" t="str">
        <f>IFERROR(INDEX(DQAF_Input!$E$2:$E$170,MATCH(78,DQAF_Input!$Z$2:$Z$170,0)),"")</f>
        <v/>
      </c>
      <c r="B79" s="4" t="str">
        <f>IF($A79="","",IF(IFERROR(VLOOKUP($A79,__rbp_p!$A:$B,2,FALSE),"")&lt;&gt;"",IFERROR(VLOOKUP($A79,__rbp_p!$A:$B,2,FALSE),""),IFERROR(INDEX(DQAF_Input!$F$2:$F$170,MATCH(78,DQAF_Input!$Z$2:$Z$170,0)),"")))</f>
        <v/>
      </c>
      <c r="C79" s="4" t="str">
        <f>IF($A79="","",INDEX(DQAF_Input!$H$2:$H$170,MATCH(78,DQAF_Input!$Z$2:$Z$170,0)))</f>
        <v/>
      </c>
    </row>
    <row r="80" spans="1:3" x14ac:dyDescent="0.25">
      <c r="A80" s="10" t="str">
        <f>IFERROR(INDEX(DQAF_Input!$E$2:$E$170,MATCH(79,DQAF_Input!$Z$2:$Z$170,0)),"")</f>
        <v/>
      </c>
      <c r="B80" s="4" t="str">
        <f>IF($A80="","",IF(IFERROR(VLOOKUP($A80,__rbp_p!$A:$B,2,FALSE),"")&lt;&gt;"",IFERROR(VLOOKUP($A80,__rbp_p!$A:$B,2,FALSE),""),IFERROR(INDEX(DQAF_Input!$F$2:$F$170,MATCH(79,DQAF_Input!$Z$2:$Z$170,0)),"")))</f>
        <v/>
      </c>
      <c r="C80" s="4" t="str">
        <f>IF($A80="","",INDEX(DQAF_Input!$H$2:$H$170,MATCH(79,DQAF_Input!$Z$2:$Z$170,0)))</f>
        <v/>
      </c>
    </row>
    <row r="81" spans="1:3" x14ac:dyDescent="0.25">
      <c r="A81" s="10" t="str">
        <f>IFERROR(INDEX(DQAF_Input!$E$2:$E$170,MATCH(80,DQAF_Input!$Z$2:$Z$170,0)),"")</f>
        <v/>
      </c>
      <c r="B81" s="4" t="str">
        <f>IF($A81="","",IF(IFERROR(VLOOKUP($A81,__rbp_p!$A:$B,2,FALSE),"")&lt;&gt;"",IFERROR(VLOOKUP($A81,__rbp_p!$A:$B,2,FALSE),""),IFERROR(INDEX(DQAF_Input!$F$2:$F$170,MATCH(80,DQAF_Input!$Z$2:$Z$170,0)),"")))</f>
        <v/>
      </c>
      <c r="C81" s="4" t="str">
        <f>IF($A81="","",INDEX(DQAF_Input!$H$2:$H$170,MATCH(80,DQAF_Input!$Z$2:$Z$170,0)))</f>
        <v/>
      </c>
    </row>
    <row r="82" spans="1:3" x14ac:dyDescent="0.25">
      <c r="A82" s="10" t="str">
        <f>IFERROR(INDEX(DQAF_Input!$E$2:$E$170,MATCH(81,DQAF_Input!$Z$2:$Z$170,0)),"")</f>
        <v/>
      </c>
      <c r="B82" s="4" t="str">
        <f>IF($A82="","",IF(IFERROR(VLOOKUP($A82,__rbp_p!$A:$B,2,FALSE),"")&lt;&gt;"",IFERROR(VLOOKUP($A82,__rbp_p!$A:$B,2,FALSE),""),IFERROR(INDEX(DQAF_Input!$F$2:$F$170,MATCH(81,DQAF_Input!$Z$2:$Z$170,0)),"")))</f>
        <v/>
      </c>
      <c r="C82" s="4" t="str">
        <f>IF($A82="","",INDEX(DQAF_Input!$H$2:$H$170,MATCH(81,DQAF_Input!$Z$2:$Z$170,0)))</f>
        <v/>
      </c>
    </row>
    <row r="83" spans="1:3" x14ac:dyDescent="0.25">
      <c r="A83" s="10" t="str">
        <f>IFERROR(INDEX(DQAF_Input!$E$2:$E$170,MATCH(82,DQAF_Input!$Z$2:$Z$170,0)),"")</f>
        <v/>
      </c>
      <c r="B83" s="4" t="str">
        <f>IF($A83="","",IF(IFERROR(VLOOKUP($A83,__rbp_p!$A:$B,2,FALSE),"")&lt;&gt;"",IFERROR(VLOOKUP($A83,__rbp_p!$A:$B,2,FALSE),""),IFERROR(INDEX(DQAF_Input!$F$2:$F$170,MATCH(82,DQAF_Input!$Z$2:$Z$170,0)),"")))</f>
        <v/>
      </c>
      <c r="C83" s="4" t="str">
        <f>IF($A83="","",INDEX(DQAF_Input!$H$2:$H$170,MATCH(82,DQAF_Input!$Z$2:$Z$170,0)))</f>
        <v/>
      </c>
    </row>
    <row r="84" spans="1:3" x14ac:dyDescent="0.25">
      <c r="A84" s="10" t="str">
        <f>IFERROR(INDEX(DQAF_Input!$E$2:$E$170,MATCH(83,DQAF_Input!$Z$2:$Z$170,0)),"")</f>
        <v/>
      </c>
      <c r="B84" s="4" t="str">
        <f>IF($A84="","",IF(IFERROR(VLOOKUP($A84,__rbp_p!$A:$B,2,FALSE),"")&lt;&gt;"",IFERROR(VLOOKUP($A84,__rbp_p!$A:$B,2,FALSE),""),IFERROR(INDEX(DQAF_Input!$F$2:$F$170,MATCH(83,DQAF_Input!$Z$2:$Z$170,0)),"")))</f>
        <v/>
      </c>
      <c r="C84" s="4" t="str">
        <f>IF($A84="","",INDEX(DQAF_Input!$H$2:$H$170,MATCH(83,DQAF_Input!$Z$2:$Z$170,0)))</f>
        <v/>
      </c>
    </row>
    <row r="85" spans="1:3" x14ac:dyDescent="0.25">
      <c r="A85" s="10" t="str">
        <f>IFERROR(INDEX(DQAF_Input!$E$2:$E$170,MATCH(84,DQAF_Input!$Z$2:$Z$170,0)),"")</f>
        <v/>
      </c>
      <c r="B85" s="4" t="str">
        <f>IF($A85="","",IF(IFERROR(VLOOKUP($A85,__rbp_p!$A:$B,2,FALSE),"")&lt;&gt;"",IFERROR(VLOOKUP($A85,__rbp_p!$A:$B,2,FALSE),""),IFERROR(INDEX(DQAF_Input!$F$2:$F$170,MATCH(84,DQAF_Input!$Z$2:$Z$170,0)),"")))</f>
        <v/>
      </c>
      <c r="C85" s="4" t="str">
        <f>IF($A85="","",INDEX(DQAF_Input!$H$2:$H$170,MATCH(84,DQAF_Input!$Z$2:$Z$170,0)))</f>
        <v/>
      </c>
    </row>
    <row r="86" spans="1:3" x14ac:dyDescent="0.25">
      <c r="A86" s="10" t="str">
        <f>IFERROR(INDEX(DQAF_Input!$E$2:$E$170,MATCH(85,DQAF_Input!$Z$2:$Z$170,0)),"")</f>
        <v/>
      </c>
      <c r="B86" s="4" t="str">
        <f>IF($A86="","",IF(IFERROR(VLOOKUP($A86,__rbp_p!$A:$B,2,FALSE),"")&lt;&gt;"",IFERROR(VLOOKUP($A86,__rbp_p!$A:$B,2,FALSE),""),IFERROR(INDEX(DQAF_Input!$F$2:$F$170,MATCH(85,DQAF_Input!$Z$2:$Z$170,0)),"")))</f>
        <v/>
      </c>
      <c r="C86" s="4" t="str">
        <f>IF($A86="","",INDEX(DQAF_Input!$H$2:$H$170,MATCH(85,DQAF_Input!$Z$2:$Z$170,0)))</f>
        <v/>
      </c>
    </row>
    <row r="87" spans="1:3" x14ac:dyDescent="0.25">
      <c r="A87" s="10" t="str">
        <f>IFERROR(INDEX(DQAF_Input!$E$2:$E$170,MATCH(86,DQAF_Input!$Z$2:$Z$170,0)),"")</f>
        <v/>
      </c>
      <c r="B87" s="4" t="str">
        <f>IF($A87="","",IF(IFERROR(VLOOKUP($A87,__rbp_p!$A:$B,2,FALSE),"")&lt;&gt;"",IFERROR(VLOOKUP($A87,__rbp_p!$A:$B,2,FALSE),""),IFERROR(INDEX(DQAF_Input!$F$2:$F$170,MATCH(86,DQAF_Input!$Z$2:$Z$170,0)),"")))</f>
        <v/>
      </c>
      <c r="C87" s="4" t="str">
        <f>IF($A87="","",INDEX(DQAF_Input!$H$2:$H$170,MATCH(86,DQAF_Input!$Z$2:$Z$170,0)))</f>
        <v/>
      </c>
    </row>
    <row r="88" spans="1:3" x14ac:dyDescent="0.25">
      <c r="A88" s="10" t="str">
        <f>IFERROR(INDEX(DQAF_Input!$E$2:$E$170,MATCH(87,DQAF_Input!$Z$2:$Z$170,0)),"")</f>
        <v/>
      </c>
      <c r="B88" s="4" t="str">
        <f>IF($A88="","",IF(IFERROR(VLOOKUP($A88,__rbp_p!$A:$B,2,FALSE),"")&lt;&gt;"",IFERROR(VLOOKUP($A88,__rbp_p!$A:$B,2,FALSE),""),IFERROR(INDEX(DQAF_Input!$F$2:$F$170,MATCH(87,DQAF_Input!$Z$2:$Z$170,0)),"")))</f>
        <v/>
      </c>
      <c r="C88" s="4" t="str">
        <f>IF($A88="","",INDEX(DQAF_Input!$H$2:$H$170,MATCH(87,DQAF_Input!$Z$2:$Z$170,0)))</f>
        <v/>
      </c>
    </row>
    <row r="89" spans="1:3" x14ac:dyDescent="0.25">
      <c r="A89" s="10" t="str">
        <f>IFERROR(INDEX(DQAF_Input!$E$2:$E$170,MATCH(88,DQAF_Input!$Z$2:$Z$170,0)),"")</f>
        <v/>
      </c>
      <c r="B89" s="4" t="str">
        <f>IF($A89="","",IF(IFERROR(VLOOKUP($A89,__rbp_p!$A:$B,2,FALSE),"")&lt;&gt;"",IFERROR(VLOOKUP($A89,__rbp_p!$A:$B,2,FALSE),""),IFERROR(INDEX(DQAF_Input!$F$2:$F$170,MATCH(88,DQAF_Input!$Z$2:$Z$170,0)),"")))</f>
        <v/>
      </c>
      <c r="C89" s="4" t="str">
        <f>IF($A89="","",INDEX(DQAF_Input!$H$2:$H$170,MATCH(88,DQAF_Input!$Z$2:$Z$170,0)))</f>
        <v/>
      </c>
    </row>
    <row r="90" spans="1:3" x14ac:dyDescent="0.25">
      <c r="A90" s="10" t="str">
        <f>IFERROR(INDEX(DQAF_Input!$E$2:$E$170,MATCH(89,DQAF_Input!$Z$2:$Z$170,0)),"")</f>
        <v/>
      </c>
      <c r="B90" s="4" t="str">
        <f>IF($A90="","",IF(IFERROR(VLOOKUP($A90,__rbp_p!$A:$B,2,FALSE),"")&lt;&gt;"",IFERROR(VLOOKUP($A90,__rbp_p!$A:$B,2,FALSE),""),IFERROR(INDEX(DQAF_Input!$F$2:$F$170,MATCH(89,DQAF_Input!$Z$2:$Z$170,0)),"")))</f>
        <v/>
      </c>
      <c r="C90" s="4" t="str">
        <f>IF($A90="","",INDEX(DQAF_Input!$H$2:$H$170,MATCH(89,DQAF_Input!$Z$2:$Z$170,0)))</f>
        <v/>
      </c>
    </row>
    <row r="91" spans="1:3" x14ac:dyDescent="0.25">
      <c r="A91" s="10" t="str">
        <f>IFERROR(INDEX(DQAF_Input!$E$2:$E$170,MATCH(90,DQAF_Input!$Z$2:$Z$170,0)),"")</f>
        <v/>
      </c>
      <c r="B91" s="4" t="str">
        <f>IF($A91="","",IF(IFERROR(VLOOKUP($A91,__rbp_p!$A:$B,2,FALSE),"")&lt;&gt;"",IFERROR(VLOOKUP($A91,__rbp_p!$A:$B,2,FALSE),""),IFERROR(INDEX(DQAF_Input!$F$2:$F$170,MATCH(90,DQAF_Input!$Z$2:$Z$170,0)),"")))</f>
        <v/>
      </c>
      <c r="C91" s="4" t="str">
        <f>IF($A91="","",INDEX(DQAF_Input!$H$2:$H$170,MATCH(90,DQAF_Input!$Z$2:$Z$170,0)))</f>
        <v/>
      </c>
    </row>
    <row r="92" spans="1:3" x14ac:dyDescent="0.25">
      <c r="A92" s="10" t="str">
        <f>IFERROR(INDEX(DQAF_Input!$E$2:$E$170,MATCH(91,DQAF_Input!$Z$2:$Z$170,0)),"")</f>
        <v/>
      </c>
      <c r="B92" s="4" t="str">
        <f>IF($A92="","",IF(IFERROR(VLOOKUP($A92,__rbp_p!$A:$B,2,FALSE),"")&lt;&gt;"",IFERROR(VLOOKUP($A92,__rbp_p!$A:$B,2,FALSE),""),IFERROR(INDEX(DQAF_Input!$F$2:$F$170,MATCH(91,DQAF_Input!$Z$2:$Z$170,0)),"")))</f>
        <v/>
      </c>
      <c r="C92" s="4" t="str">
        <f>IF($A92="","",INDEX(DQAF_Input!$H$2:$H$170,MATCH(91,DQAF_Input!$Z$2:$Z$170,0)))</f>
        <v/>
      </c>
    </row>
    <row r="93" spans="1:3" x14ac:dyDescent="0.25">
      <c r="A93" s="10" t="str">
        <f>IFERROR(INDEX(DQAF_Input!$E$2:$E$170,MATCH(92,DQAF_Input!$Z$2:$Z$170,0)),"")</f>
        <v/>
      </c>
      <c r="B93" s="4" t="str">
        <f>IF($A93="","",IF(IFERROR(VLOOKUP($A93,__rbp_p!$A:$B,2,FALSE),"")&lt;&gt;"",IFERROR(VLOOKUP($A93,__rbp_p!$A:$B,2,FALSE),""),IFERROR(INDEX(DQAF_Input!$F$2:$F$170,MATCH(92,DQAF_Input!$Z$2:$Z$170,0)),"")))</f>
        <v/>
      </c>
      <c r="C93" s="4" t="str">
        <f>IF($A93="","",INDEX(DQAF_Input!$H$2:$H$170,MATCH(92,DQAF_Input!$Z$2:$Z$170,0)))</f>
        <v/>
      </c>
    </row>
    <row r="94" spans="1:3" x14ac:dyDescent="0.25">
      <c r="A94" s="10" t="str">
        <f>IFERROR(INDEX(DQAF_Input!$E$2:$E$170,MATCH(93,DQAF_Input!$Z$2:$Z$170,0)),"")</f>
        <v/>
      </c>
      <c r="B94" s="4" t="str">
        <f>IF($A94="","",IF(IFERROR(VLOOKUP($A94,__rbp_p!$A:$B,2,FALSE),"")&lt;&gt;"",IFERROR(VLOOKUP($A94,__rbp_p!$A:$B,2,FALSE),""),IFERROR(INDEX(DQAF_Input!$F$2:$F$170,MATCH(93,DQAF_Input!$Z$2:$Z$170,0)),"")))</f>
        <v/>
      </c>
      <c r="C94" s="4" t="str">
        <f>IF($A94="","",INDEX(DQAF_Input!$H$2:$H$170,MATCH(93,DQAF_Input!$Z$2:$Z$170,0)))</f>
        <v/>
      </c>
    </row>
    <row r="95" spans="1:3" x14ac:dyDescent="0.25">
      <c r="A95" s="10" t="str">
        <f>IFERROR(INDEX(DQAF_Input!$E$2:$E$170,MATCH(94,DQAF_Input!$Z$2:$Z$170,0)),"")</f>
        <v/>
      </c>
      <c r="B95" s="4" t="str">
        <f>IF($A95="","",IF(IFERROR(VLOOKUP($A95,__rbp_p!$A:$B,2,FALSE),"")&lt;&gt;"",IFERROR(VLOOKUP($A95,__rbp_p!$A:$B,2,FALSE),""),IFERROR(INDEX(DQAF_Input!$F$2:$F$170,MATCH(94,DQAF_Input!$Z$2:$Z$170,0)),"")))</f>
        <v/>
      </c>
      <c r="C95" s="4" t="str">
        <f>IF($A95="","",INDEX(DQAF_Input!$H$2:$H$170,MATCH(94,DQAF_Input!$Z$2:$Z$170,0)))</f>
        <v/>
      </c>
    </row>
    <row r="96" spans="1:3" x14ac:dyDescent="0.25">
      <c r="A96" s="10" t="str">
        <f>IFERROR(INDEX(DQAF_Input!$E$2:$E$170,MATCH(95,DQAF_Input!$Z$2:$Z$170,0)),"")</f>
        <v/>
      </c>
      <c r="B96" s="4" t="str">
        <f>IF($A96="","",IF(IFERROR(VLOOKUP($A96,__rbp_p!$A:$B,2,FALSE),"")&lt;&gt;"",IFERROR(VLOOKUP($A96,__rbp_p!$A:$B,2,FALSE),""),IFERROR(INDEX(DQAF_Input!$F$2:$F$170,MATCH(95,DQAF_Input!$Z$2:$Z$170,0)),"")))</f>
        <v/>
      </c>
      <c r="C96" s="4" t="str">
        <f>IF($A96="","",INDEX(DQAF_Input!$H$2:$H$170,MATCH(95,DQAF_Input!$Z$2:$Z$170,0)))</f>
        <v/>
      </c>
    </row>
    <row r="97" spans="1:3" x14ac:dyDescent="0.25">
      <c r="A97" s="10" t="str">
        <f>IFERROR(INDEX(DQAF_Input!$E$2:$E$170,MATCH(96,DQAF_Input!$Z$2:$Z$170,0)),"")</f>
        <v/>
      </c>
      <c r="B97" s="4" t="str">
        <f>IF($A97="","",IF(IFERROR(VLOOKUP($A97,__rbp_p!$A:$B,2,FALSE),"")&lt;&gt;"",IFERROR(VLOOKUP($A97,__rbp_p!$A:$B,2,FALSE),""),IFERROR(INDEX(DQAF_Input!$F$2:$F$170,MATCH(96,DQAF_Input!$Z$2:$Z$170,0)),"")))</f>
        <v/>
      </c>
      <c r="C97" s="4" t="str">
        <f>IF($A97="","",INDEX(DQAF_Input!$H$2:$H$170,MATCH(96,DQAF_Input!$Z$2:$Z$170,0)))</f>
        <v/>
      </c>
    </row>
    <row r="98" spans="1:3" x14ac:dyDescent="0.25">
      <c r="A98" s="10" t="str">
        <f>IFERROR(INDEX(DQAF_Input!$E$2:$E$170,MATCH(97,DQAF_Input!$Z$2:$Z$170,0)),"")</f>
        <v/>
      </c>
      <c r="B98" s="4" t="str">
        <f>IF($A98="","",IF(IFERROR(VLOOKUP($A98,__rbp_p!$A:$B,2,FALSE),"")&lt;&gt;"",IFERROR(VLOOKUP($A98,__rbp_p!$A:$B,2,FALSE),""),IFERROR(INDEX(DQAF_Input!$F$2:$F$170,MATCH(97,DQAF_Input!$Z$2:$Z$170,0)),"")))</f>
        <v/>
      </c>
      <c r="C98" s="4" t="str">
        <f>IF($A98="","",INDEX(DQAF_Input!$H$2:$H$170,MATCH(97,DQAF_Input!$Z$2:$Z$170,0)))</f>
        <v/>
      </c>
    </row>
    <row r="99" spans="1:3" x14ac:dyDescent="0.25">
      <c r="A99" s="10" t="str">
        <f>IFERROR(INDEX(DQAF_Input!$E$2:$E$170,MATCH(98,DQAF_Input!$Z$2:$Z$170,0)),"")</f>
        <v/>
      </c>
      <c r="B99" s="4" t="str">
        <f>IF($A99="","",IF(IFERROR(VLOOKUP($A99,__rbp_p!$A:$B,2,FALSE),"")&lt;&gt;"",IFERROR(VLOOKUP($A99,__rbp_p!$A:$B,2,FALSE),""),IFERROR(INDEX(DQAF_Input!$F$2:$F$170,MATCH(98,DQAF_Input!$Z$2:$Z$170,0)),"")))</f>
        <v/>
      </c>
      <c r="C99" s="4" t="str">
        <f>IF($A99="","",INDEX(DQAF_Input!$H$2:$H$170,MATCH(98,DQAF_Input!$Z$2:$Z$170,0)))</f>
        <v/>
      </c>
    </row>
    <row r="100" spans="1:3" x14ac:dyDescent="0.25">
      <c r="A100" s="10" t="str">
        <f>IFERROR(INDEX(DQAF_Input!$E$2:$E$170,MATCH(99,DQAF_Input!$Z$2:$Z$170,0)),"")</f>
        <v/>
      </c>
      <c r="B100" s="4" t="str">
        <f>IF($A100="","",IF(IFERROR(VLOOKUP($A100,__rbp_p!$A:$B,2,FALSE),"")&lt;&gt;"",IFERROR(VLOOKUP($A100,__rbp_p!$A:$B,2,FALSE),""),IFERROR(INDEX(DQAF_Input!$F$2:$F$170,MATCH(99,DQAF_Input!$Z$2:$Z$170,0)),"")))</f>
        <v/>
      </c>
      <c r="C100" s="4" t="str">
        <f>IF($A100="","",INDEX(DQAF_Input!$H$2:$H$170,MATCH(99,DQAF_Input!$Z$2:$Z$170,0)))</f>
        <v/>
      </c>
    </row>
    <row r="101" spans="1:3" x14ac:dyDescent="0.25">
      <c r="A101" s="10" t="str">
        <f>IFERROR(INDEX(DQAF_Input!$E$2:$E$170,MATCH(100,DQAF_Input!$Z$2:$Z$170,0)),"")</f>
        <v/>
      </c>
      <c r="B101" s="4" t="str">
        <f>IF($A101="","",IF(IFERROR(VLOOKUP($A101,__rbp_p!$A:$B,2,FALSE),"")&lt;&gt;"",IFERROR(VLOOKUP($A101,__rbp_p!$A:$B,2,FALSE),""),IFERROR(INDEX(DQAF_Input!$F$2:$F$170,MATCH(100,DQAF_Input!$Z$2:$Z$170,0)),"")))</f>
        <v/>
      </c>
      <c r="C101" s="4" t="str">
        <f>IF($A101="","",INDEX(DQAF_Input!$H$2:$H$170,MATCH(100,DQAF_Input!$Z$2:$Z$170,0)))</f>
        <v/>
      </c>
    </row>
    <row r="102" spans="1:3" x14ac:dyDescent="0.25">
      <c r="A102" s="10" t="str">
        <f>IFERROR(INDEX(DQAF_Input!$E$2:$E$170,MATCH(101,DQAF_Input!$Z$2:$Z$170,0)),"")</f>
        <v/>
      </c>
      <c r="B102" s="4" t="str">
        <f>IF($A102="","",IF(IFERROR(VLOOKUP($A102,__rbp_p!$A:$B,2,FALSE),"")&lt;&gt;"",IFERROR(VLOOKUP($A102,__rbp_p!$A:$B,2,FALSE),""),IFERROR(INDEX(DQAF_Input!$F$2:$F$170,MATCH(101,DQAF_Input!$Z$2:$Z$170,0)),"")))</f>
        <v/>
      </c>
      <c r="C102" s="4" t="str">
        <f>IF($A102="","",INDEX(DQAF_Input!$H$2:$H$170,MATCH(101,DQAF_Input!$Z$2:$Z$170,0)))</f>
        <v/>
      </c>
    </row>
    <row r="103" spans="1:3" x14ac:dyDescent="0.25">
      <c r="A103" s="10" t="str">
        <f>IFERROR(INDEX(DQAF_Input!$E$2:$E$170,MATCH(102,DQAF_Input!$Z$2:$Z$170,0)),"")</f>
        <v/>
      </c>
      <c r="B103" s="4" t="str">
        <f>IF($A103="","",IF(IFERROR(VLOOKUP($A103,__rbp_p!$A:$B,2,FALSE),"")&lt;&gt;"",IFERROR(VLOOKUP($A103,__rbp_p!$A:$B,2,FALSE),""),IFERROR(INDEX(DQAF_Input!$F$2:$F$170,MATCH(102,DQAF_Input!$Z$2:$Z$170,0)),"")))</f>
        <v/>
      </c>
      <c r="C103" s="4" t="str">
        <f>IF($A103="","",INDEX(DQAF_Input!$H$2:$H$170,MATCH(102,DQAF_Input!$Z$2:$Z$170,0)))</f>
        <v/>
      </c>
    </row>
    <row r="104" spans="1:3" x14ac:dyDescent="0.25">
      <c r="A104" s="10" t="str">
        <f>IFERROR(INDEX(DQAF_Input!$E$2:$E$170,MATCH(103,DQAF_Input!$Z$2:$Z$170,0)),"")</f>
        <v/>
      </c>
      <c r="B104" s="4" t="str">
        <f>IF($A104="","",IF(IFERROR(VLOOKUP($A104,__rbp_p!$A:$B,2,FALSE),"")&lt;&gt;"",IFERROR(VLOOKUP($A104,__rbp_p!$A:$B,2,FALSE),""),IFERROR(INDEX(DQAF_Input!$F$2:$F$170,MATCH(103,DQAF_Input!$Z$2:$Z$170,0)),"")))</f>
        <v/>
      </c>
      <c r="C104" s="4" t="str">
        <f>IF($A104="","",INDEX(DQAF_Input!$H$2:$H$170,MATCH(103,DQAF_Input!$Z$2:$Z$170,0)))</f>
        <v/>
      </c>
    </row>
    <row r="105" spans="1:3" x14ac:dyDescent="0.25">
      <c r="A105" s="10" t="str">
        <f>IFERROR(INDEX(DQAF_Input!$E$2:$E$170,MATCH(104,DQAF_Input!$Z$2:$Z$170,0)),"")</f>
        <v/>
      </c>
      <c r="B105" s="4" t="str">
        <f>IF($A105="","",IF(IFERROR(VLOOKUP($A105,__rbp_p!$A:$B,2,FALSE),"")&lt;&gt;"",IFERROR(VLOOKUP($A105,__rbp_p!$A:$B,2,FALSE),""),IFERROR(INDEX(DQAF_Input!$F$2:$F$170,MATCH(104,DQAF_Input!$Z$2:$Z$170,0)),"")))</f>
        <v/>
      </c>
      <c r="C105" s="4" t="str">
        <f>IF($A105="","",INDEX(DQAF_Input!$H$2:$H$170,MATCH(104,DQAF_Input!$Z$2:$Z$170,0)))</f>
        <v/>
      </c>
    </row>
    <row r="106" spans="1:3" x14ac:dyDescent="0.25">
      <c r="A106" s="10" t="str">
        <f>IFERROR(INDEX(DQAF_Input!$E$2:$E$170,MATCH(105,DQAF_Input!$Z$2:$Z$170,0)),"")</f>
        <v/>
      </c>
      <c r="B106" s="4" t="str">
        <f>IF($A106="","",IF(IFERROR(VLOOKUP($A106,__rbp_p!$A:$B,2,FALSE),"")&lt;&gt;"",IFERROR(VLOOKUP($A106,__rbp_p!$A:$B,2,FALSE),""),IFERROR(INDEX(DQAF_Input!$F$2:$F$170,MATCH(105,DQAF_Input!$Z$2:$Z$170,0)),"")))</f>
        <v/>
      </c>
      <c r="C106" s="4" t="str">
        <f>IF($A106="","",INDEX(DQAF_Input!$H$2:$H$170,MATCH(105,DQAF_Input!$Z$2:$Z$170,0)))</f>
        <v/>
      </c>
    </row>
    <row r="107" spans="1:3" x14ac:dyDescent="0.25">
      <c r="A107" s="10" t="str">
        <f>IFERROR(INDEX(DQAF_Input!$E$2:$E$170,MATCH(106,DQAF_Input!$Z$2:$Z$170,0)),"")</f>
        <v/>
      </c>
      <c r="B107" s="4" t="str">
        <f>IF($A107="","",IF(IFERROR(VLOOKUP($A107,__rbp_p!$A:$B,2,FALSE),"")&lt;&gt;"",IFERROR(VLOOKUP($A107,__rbp_p!$A:$B,2,FALSE),""),IFERROR(INDEX(DQAF_Input!$F$2:$F$170,MATCH(106,DQAF_Input!$Z$2:$Z$170,0)),"")))</f>
        <v/>
      </c>
      <c r="C107" s="4" t="str">
        <f>IF($A107="","",INDEX(DQAF_Input!$H$2:$H$170,MATCH(106,DQAF_Input!$Z$2:$Z$170,0)))</f>
        <v/>
      </c>
    </row>
    <row r="108" spans="1:3" x14ac:dyDescent="0.25">
      <c r="A108" s="10" t="str">
        <f>IFERROR(INDEX(DQAF_Input!$E$2:$E$170,MATCH(107,DQAF_Input!$Z$2:$Z$170,0)),"")</f>
        <v/>
      </c>
      <c r="B108" s="4" t="str">
        <f>IF($A108="","",IF(IFERROR(VLOOKUP($A108,__rbp_p!$A:$B,2,FALSE),"")&lt;&gt;"",IFERROR(VLOOKUP($A108,__rbp_p!$A:$B,2,FALSE),""),IFERROR(INDEX(DQAF_Input!$F$2:$F$170,MATCH(107,DQAF_Input!$Z$2:$Z$170,0)),"")))</f>
        <v/>
      </c>
      <c r="C108" s="4" t="str">
        <f>IF($A108="","",INDEX(DQAF_Input!$H$2:$H$170,MATCH(107,DQAF_Input!$Z$2:$Z$170,0)))</f>
        <v/>
      </c>
    </row>
    <row r="109" spans="1:3" x14ac:dyDescent="0.25">
      <c r="A109" s="10" t="str">
        <f>IFERROR(INDEX(DQAF_Input!$E$2:$E$170,MATCH(108,DQAF_Input!$Z$2:$Z$170,0)),"")</f>
        <v/>
      </c>
      <c r="B109" s="4" t="str">
        <f>IF($A109="","",IF(IFERROR(VLOOKUP($A109,__rbp_p!$A:$B,2,FALSE),"")&lt;&gt;"",IFERROR(VLOOKUP($A109,__rbp_p!$A:$B,2,FALSE),""),IFERROR(INDEX(DQAF_Input!$F$2:$F$170,MATCH(108,DQAF_Input!$Z$2:$Z$170,0)),"")))</f>
        <v/>
      </c>
      <c r="C109" s="4" t="str">
        <f>IF($A109="","",INDEX(DQAF_Input!$H$2:$H$170,MATCH(108,DQAF_Input!$Z$2:$Z$170,0)))</f>
        <v/>
      </c>
    </row>
    <row r="110" spans="1:3" x14ac:dyDescent="0.25">
      <c r="A110" s="10" t="str">
        <f>IFERROR(INDEX(DQAF_Input!$E$2:$E$170,MATCH(109,DQAF_Input!$Z$2:$Z$170,0)),"")</f>
        <v/>
      </c>
      <c r="B110" s="4" t="str">
        <f>IF($A110="","",IF(IFERROR(VLOOKUP($A110,__rbp_p!$A:$B,2,FALSE),"")&lt;&gt;"",IFERROR(VLOOKUP($A110,__rbp_p!$A:$B,2,FALSE),""),IFERROR(INDEX(DQAF_Input!$F$2:$F$170,MATCH(109,DQAF_Input!$Z$2:$Z$170,0)),"")))</f>
        <v/>
      </c>
      <c r="C110" s="4" t="str">
        <f>IF($A110="","",INDEX(DQAF_Input!$H$2:$H$170,MATCH(109,DQAF_Input!$Z$2:$Z$170,0)))</f>
        <v/>
      </c>
    </row>
    <row r="111" spans="1:3" x14ac:dyDescent="0.25">
      <c r="A111" s="10" t="str">
        <f>IFERROR(INDEX(DQAF_Input!$E$2:$E$170,MATCH(110,DQAF_Input!$Z$2:$Z$170,0)),"")</f>
        <v/>
      </c>
      <c r="B111" s="4" t="str">
        <f>IF($A111="","",IF(IFERROR(VLOOKUP($A111,__rbp_p!$A:$B,2,FALSE),"")&lt;&gt;"",IFERROR(VLOOKUP($A111,__rbp_p!$A:$B,2,FALSE),""),IFERROR(INDEX(DQAF_Input!$F$2:$F$170,MATCH(110,DQAF_Input!$Z$2:$Z$170,0)),"")))</f>
        <v/>
      </c>
      <c r="C111" s="4" t="str">
        <f>IF($A111="","",INDEX(DQAF_Input!$H$2:$H$170,MATCH(110,DQAF_Input!$Z$2:$Z$170,0)))</f>
        <v/>
      </c>
    </row>
    <row r="112" spans="1:3" x14ac:dyDescent="0.25">
      <c r="A112" s="10" t="str">
        <f>IFERROR(INDEX(DQAF_Input!$E$2:$E$170,MATCH(111,DQAF_Input!$Z$2:$Z$170,0)),"")</f>
        <v/>
      </c>
      <c r="B112" s="4" t="str">
        <f>IF($A112="","",IF(IFERROR(VLOOKUP($A112,__rbp_p!$A:$B,2,FALSE),"")&lt;&gt;"",IFERROR(VLOOKUP($A112,__rbp_p!$A:$B,2,FALSE),""),IFERROR(INDEX(DQAF_Input!$F$2:$F$170,MATCH(111,DQAF_Input!$Z$2:$Z$170,0)),"")))</f>
        <v/>
      </c>
      <c r="C112" s="4" t="str">
        <f>IF($A112="","",INDEX(DQAF_Input!$H$2:$H$170,MATCH(111,DQAF_Input!$Z$2:$Z$170,0)))</f>
        <v/>
      </c>
    </row>
    <row r="113" spans="1:3" x14ac:dyDescent="0.25">
      <c r="A113" s="10" t="str">
        <f>IFERROR(INDEX(DQAF_Input!$E$2:$E$170,MATCH(112,DQAF_Input!$Z$2:$Z$170,0)),"")</f>
        <v/>
      </c>
      <c r="B113" s="4" t="str">
        <f>IF($A113="","",IF(IFERROR(VLOOKUP($A113,__rbp_p!$A:$B,2,FALSE),"")&lt;&gt;"",IFERROR(VLOOKUP($A113,__rbp_p!$A:$B,2,FALSE),""),IFERROR(INDEX(DQAF_Input!$F$2:$F$170,MATCH(112,DQAF_Input!$Z$2:$Z$170,0)),"")))</f>
        <v/>
      </c>
      <c r="C113" s="4" t="str">
        <f>IF($A113="","",INDEX(DQAF_Input!$H$2:$H$170,MATCH(112,DQAF_Input!$Z$2:$Z$170,0)))</f>
        <v/>
      </c>
    </row>
    <row r="114" spans="1:3" x14ac:dyDescent="0.25">
      <c r="A114" s="10" t="str">
        <f>IFERROR(INDEX(DQAF_Input!$E$2:$E$170,MATCH(113,DQAF_Input!$Z$2:$Z$170,0)),"")</f>
        <v/>
      </c>
      <c r="B114" s="4" t="str">
        <f>IF($A114="","",IF(IFERROR(VLOOKUP($A114,__rbp_p!$A:$B,2,FALSE),"")&lt;&gt;"",IFERROR(VLOOKUP($A114,__rbp_p!$A:$B,2,FALSE),""),IFERROR(INDEX(DQAF_Input!$F$2:$F$170,MATCH(113,DQAF_Input!$Z$2:$Z$170,0)),"")))</f>
        <v/>
      </c>
      <c r="C114" s="4" t="str">
        <f>IF($A114="","",INDEX(DQAF_Input!$H$2:$H$170,MATCH(113,DQAF_Input!$Z$2:$Z$170,0)))</f>
        <v/>
      </c>
    </row>
    <row r="115" spans="1:3" x14ac:dyDescent="0.25">
      <c r="A115" s="10" t="str">
        <f>IFERROR(INDEX(DQAF_Input!$E$2:$E$170,MATCH(114,DQAF_Input!$Z$2:$Z$170,0)),"")</f>
        <v/>
      </c>
      <c r="B115" s="4" t="str">
        <f>IF($A115="","",IF(IFERROR(VLOOKUP($A115,__rbp_p!$A:$B,2,FALSE),"")&lt;&gt;"",IFERROR(VLOOKUP($A115,__rbp_p!$A:$B,2,FALSE),""),IFERROR(INDEX(DQAF_Input!$F$2:$F$170,MATCH(114,DQAF_Input!$Z$2:$Z$170,0)),"")))</f>
        <v/>
      </c>
      <c r="C115" s="4" t="str">
        <f>IF($A115="","",INDEX(DQAF_Input!$H$2:$H$170,MATCH(114,DQAF_Input!$Z$2:$Z$170,0)))</f>
        <v/>
      </c>
    </row>
    <row r="116" spans="1:3" x14ac:dyDescent="0.25">
      <c r="A116" s="10" t="str">
        <f>IFERROR(INDEX(DQAF_Input!$E$2:$E$170,MATCH(115,DQAF_Input!$Z$2:$Z$170,0)),"")</f>
        <v/>
      </c>
      <c r="B116" s="4" t="str">
        <f>IF($A116="","",IF(IFERROR(VLOOKUP($A116,__rbp_p!$A:$B,2,FALSE),"")&lt;&gt;"",IFERROR(VLOOKUP($A116,__rbp_p!$A:$B,2,FALSE),""),IFERROR(INDEX(DQAF_Input!$F$2:$F$170,MATCH(115,DQAF_Input!$Z$2:$Z$170,0)),"")))</f>
        <v/>
      </c>
      <c r="C116" s="4" t="str">
        <f>IF($A116="","",INDEX(DQAF_Input!$H$2:$H$170,MATCH(115,DQAF_Input!$Z$2:$Z$170,0)))</f>
        <v/>
      </c>
    </row>
    <row r="117" spans="1:3" x14ac:dyDescent="0.25">
      <c r="A117" s="10" t="str">
        <f>IFERROR(INDEX(DQAF_Input!$E$2:$E$170,MATCH(116,DQAF_Input!$Z$2:$Z$170,0)),"")</f>
        <v/>
      </c>
      <c r="B117" s="4" t="str">
        <f>IF($A117="","",IF(IFERROR(VLOOKUP($A117,__rbp_p!$A:$B,2,FALSE),"")&lt;&gt;"",IFERROR(VLOOKUP($A117,__rbp_p!$A:$B,2,FALSE),""),IFERROR(INDEX(DQAF_Input!$F$2:$F$170,MATCH(116,DQAF_Input!$Z$2:$Z$170,0)),"")))</f>
        <v/>
      </c>
      <c r="C117" s="4" t="str">
        <f>IF($A117="","",INDEX(DQAF_Input!$H$2:$H$170,MATCH(116,DQAF_Input!$Z$2:$Z$170,0)))</f>
        <v/>
      </c>
    </row>
    <row r="118" spans="1:3" x14ac:dyDescent="0.25">
      <c r="A118" s="10" t="str">
        <f>IFERROR(INDEX(DQAF_Input!$E$2:$E$170,MATCH(117,DQAF_Input!$Z$2:$Z$170,0)),"")</f>
        <v/>
      </c>
      <c r="B118" s="4" t="str">
        <f>IF($A118="","",IF(IFERROR(VLOOKUP($A118,__rbp_p!$A:$B,2,FALSE),"")&lt;&gt;"",IFERROR(VLOOKUP($A118,__rbp_p!$A:$B,2,FALSE),""),IFERROR(INDEX(DQAF_Input!$F$2:$F$170,MATCH(117,DQAF_Input!$Z$2:$Z$170,0)),"")))</f>
        <v/>
      </c>
      <c r="C118" s="4" t="str">
        <f>IF($A118="","",INDEX(DQAF_Input!$H$2:$H$170,MATCH(117,DQAF_Input!$Z$2:$Z$170,0)))</f>
        <v/>
      </c>
    </row>
    <row r="119" spans="1:3" x14ac:dyDescent="0.25">
      <c r="A119" s="10" t="str">
        <f>IFERROR(INDEX(DQAF_Input!$E$2:$E$170,MATCH(118,DQAF_Input!$Z$2:$Z$170,0)),"")</f>
        <v/>
      </c>
      <c r="B119" s="4" t="str">
        <f>IF($A119="","",IF(IFERROR(VLOOKUP($A119,__rbp_p!$A:$B,2,FALSE),"")&lt;&gt;"",IFERROR(VLOOKUP($A119,__rbp_p!$A:$B,2,FALSE),""),IFERROR(INDEX(DQAF_Input!$F$2:$F$170,MATCH(118,DQAF_Input!$Z$2:$Z$170,0)),"")))</f>
        <v/>
      </c>
      <c r="C119" s="4" t="str">
        <f>IF($A119="","",INDEX(DQAF_Input!$H$2:$H$170,MATCH(118,DQAF_Input!$Z$2:$Z$170,0)))</f>
        <v/>
      </c>
    </row>
    <row r="120" spans="1:3" x14ac:dyDescent="0.25">
      <c r="A120" s="10" t="str">
        <f>IFERROR(INDEX(DQAF_Input!$E$2:$E$170,MATCH(119,DQAF_Input!$Z$2:$Z$170,0)),"")</f>
        <v/>
      </c>
      <c r="B120" s="4" t="str">
        <f>IF($A120="","",IF(IFERROR(VLOOKUP($A120,__rbp_p!$A:$B,2,FALSE),"")&lt;&gt;"",IFERROR(VLOOKUP($A120,__rbp_p!$A:$B,2,FALSE),""),IFERROR(INDEX(DQAF_Input!$F$2:$F$170,MATCH(119,DQAF_Input!$Z$2:$Z$170,0)),"")))</f>
        <v/>
      </c>
      <c r="C120" s="4" t="str">
        <f>IF($A120="","",INDEX(DQAF_Input!$H$2:$H$170,MATCH(119,DQAF_Input!$Z$2:$Z$170,0)))</f>
        <v/>
      </c>
    </row>
    <row r="121" spans="1:3" x14ac:dyDescent="0.25">
      <c r="A121" s="10" t="str">
        <f>IFERROR(INDEX(DQAF_Input!$E$2:$E$170,MATCH(120,DQAF_Input!$Z$2:$Z$170,0)),"")</f>
        <v/>
      </c>
      <c r="B121" s="4" t="str">
        <f>IF($A121="","",IF(IFERROR(VLOOKUP($A121,__rbp_p!$A:$B,2,FALSE),"")&lt;&gt;"",IFERROR(VLOOKUP($A121,__rbp_p!$A:$B,2,FALSE),""),IFERROR(INDEX(DQAF_Input!$F$2:$F$170,MATCH(120,DQAF_Input!$Z$2:$Z$170,0)),"")))</f>
        <v/>
      </c>
      <c r="C121" s="4" t="str">
        <f>IF($A121="","",INDEX(DQAF_Input!$H$2:$H$170,MATCH(120,DQAF_Input!$Z$2:$Z$170,0)))</f>
        <v/>
      </c>
    </row>
    <row r="122" spans="1:3" x14ac:dyDescent="0.25">
      <c r="A122" s="10" t="str">
        <f>IFERROR(INDEX(DQAF_Input!$E$2:$E$170,MATCH(121,DQAF_Input!$Z$2:$Z$170,0)),"")</f>
        <v/>
      </c>
      <c r="B122" s="4" t="str">
        <f>IF($A122="","",IF(IFERROR(VLOOKUP($A122,__rbp_p!$A:$B,2,FALSE),"")&lt;&gt;"",IFERROR(VLOOKUP($A122,__rbp_p!$A:$B,2,FALSE),""),IFERROR(INDEX(DQAF_Input!$F$2:$F$170,MATCH(121,DQAF_Input!$Z$2:$Z$170,0)),"")))</f>
        <v/>
      </c>
      <c r="C122" s="4" t="str">
        <f>IF($A122="","",INDEX(DQAF_Input!$H$2:$H$170,MATCH(121,DQAF_Input!$Z$2:$Z$170,0)))</f>
        <v/>
      </c>
    </row>
    <row r="123" spans="1:3" x14ac:dyDescent="0.25">
      <c r="A123" s="10" t="str">
        <f>IFERROR(INDEX(DQAF_Input!$E$2:$E$170,MATCH(122,DQAF_Input!$Z$2:$Z$170,0)),"")</f>
        <v/>
      </c>
      <c r="B123" s="4" t="str">
        <f>IF($A123="","",IF(IFERROR(VLOOKUP($A123,__rbp_p!$A:$B,2,FALSE),"")&lt;&gt;"",IFERROR(VLOOKUP($A123,__rbp_p!$A:$B,2,FALSE),""),IFERROR(INDEX(DQAF_Input!$F$2:$F$170,MATCH(122,DQAF_Input!$Z$2:$Z$170,0)),"")))</f>
        <v/>
      </c>
      <c r="C123" s="4" t="str">
        <f>IF($A123="","",INDEX(DQAF_Input!$H$2:$H$170,MATCH(122,DQAF_Input!$Z$2:$Z$170,0)))</f>
        <v/>
      </c>
    </row>
    <row r="124" spans="1:3" x14ac:dyDescent="0.25">
      <c r="A124" s="10" t="str">
        <f>IFERROR(INDEX(DQAF_Input!$E$2:$E$170,MATCH(123,DQAF_Input!$Z$2:$Z$170,0)),"")</f>
        <v/>
      </c>
      <c r="B124" s="4" t="str">
        <f>IF($A124="","",IF(IFERROR(VLOOKUP($A124,__rbp_p!$A:$B,2,FALSE),"")&lt;&gt;"",IFERROR(VLOOKUP($A124,__rbp_p!$A:$B,2,FALSE),""),IFERROR(INDEX(DQAF_Input!$F$2:$F$170,MATCH(123,DQAF_Input!$Z$2:$Z$170,0)),"")))</f>
        <v/>
      </c>
      <c r="C124" s="4" t="str">
        <f>IF($A124="","",INDEX(DQAF_Input!$H$2:$H$170,MATCH(123,DQAF_Input!$Z$2:$Z$170,0)))</f>
        <v/>
      </c>
    </row>
    <row r="125" spans="1:3" x14ac:dyDescent="0.25">
      <c r="A125" s="10" t="str">
        <f>IFERROR(INDEX(DQAF_Input!$E$2:$E$170,MATCH(124,DQAF_Input!$Z$2:$Z$170,0)),"")</f>
        <v/>
      </c>
      <c r="B125" s="4" t="str">
        <f>IF($A125="","",IF(IFERROR(VLOOKUP($A125,__rbp_p!$A:$B,2,FALSE),"")&lt;&gt;"",IFERROR(VLOOKUP($A125,__rbp_p!$A:$B,2,FALSE),""),IFERROR(INDEX(DQAF_Input!$F$2:$F$170,MATCH(124,DQAF_Input!$Z$2:$Z$170,0)),"")))</f>
        <v/>
      </c>
      <c r="C125" s="4" t="str">
        <f>IF($A125="","",INDEX(DQAF_Input!$H$2:$H$170,MATCH(124,DQAF_Input!$Z$2:$Z$170,0)))</f>
        <v/>
      </c>
    </row>
    <row r="126" spans="1:3" x14ac:dyDescent="0.25">
      <c r="A126" s="10" t="str">
        <f>IFERROR(INDEX(DQAF_Input!$E$2:$E$170,MATCH(125,DQAF_Input!$Z$2:$Z$170,0)),"")</f>
        <v/>
      </c>
      <c r="B126" s="4" t="str">
        <f>IF($A126="","",IF(IFERROR(VLOOKUP($A126,__rbp_p!$A:$B,2,FALSE),"")&lt;&gt;"",IFERROR(VLOOKUP($A126,__rbp_p!$A:$B,2,FALSE),""),IFERROR(INDEX(DQAF_Input!$F$2:$F$170,MATCH(125,DQAF_Input!$Z$2:$Z$170,0)),"")))</f>
        <v/>
      </c>
      <c r="C126" s="4" t="str">
        <f>IF($A126="","",INDEX(DQAF_Input!$H$2:$H$170,MATCH(125,DQAF_Input!$Z$2:$Z$170,0)))</f>
        <v/>
      </c>
    </row>
    <row r="127" spans="1:3" x14ac:dyDescent="0.25">
      <c r="A127" s="10" t="str">
        <f>IFERROR(INDEX(DQAF_Input!$E$2:$E$170,MATCH(126,DQAF_Input!$Z$2:$Z$170,0)),"")</f>
        <v/>
      </c>
      <c r="B127" s="4" t="str">
        <f>IF($A127="","",IF(IFERROR(VLOOKUP($A127,__rbp_p!$A:$B,2,FALSE),"")&lt;&gt;"",IFERROR(VLOOKUP($A127,__rbp_p!$A:$B,2,FALSE),""),IFERROR(INDEX(DQAF_Input!$F$2:$F$170,MATCH(126,DQAF_Input!$Z$2:$Z$170,0)),"")))</f>
        <v/>
      </c>
      <c r="C127" s="4" t="str">
        <f>IF($A127="","",INDEX(DQAF_Input!$H$2:$H$170,MATCH(126,DQAF_Input!$Z$2:$Z$170,0)))</f>
        <v/>
      </c>
    </row>
    <row r="128" spans="1:3" x14ac:dyDescent="0.25">
      <c r="A128" s="10" t="str">
        <f>IFERROR(INDEX(DQAF_Input!$E$2:$E$170,MATCH(127,DQAF_Input!$Z$2:$Z$170,0)),"")</f>
        <v/>
      </c>
      <c r="B128" s="4" t="str">
        <f>IF($A128="","",IF(IFERROR(VLOOKUP($A128,__rbp_p!$A:$B,2,FALSE),"")&lt;&gt;"",IFERROR(VLOOKUP($A128,__rbp_p!$A:$B,2,FALSE),""),IFERROR(INDEX(DQAF_Input!$F$2:$F$170,MATCH(127,DQAF_Input!$Z$2:$Z$170,0)),"")))</f>
        <v/>
      </c>
      <c r="C128" s="4" t="str">
        <f>IF($A128="","",INDEX(DQAF_Input!$H$2:$H$170,MATCH(127,DQAF_Input!$Z$2:$Z$170,0)))</f>
        <v/>
      </c>
    </row>
    <row r="129" spans="1:3" x14ac:dyDescent="0.25">
      <c r="A129" s="10" t="str">
        <f>IFERROR(INDEX(DQAF_Input!$E$2:$E$170,MATCH(128,DQAF_Input!$Z$2:$Z$170,0)),"")</f>
        <v/>
      </c>
      <c r="B129" s="4" t="str">
        <f>IF($A129="","",IF(IFERROR(VLOOKUP($A129,__rbp_p!$A:$B,2,FALSE),"")&lt;&gt;"",IFERROR(VLOOKUP($A129,__rbp_p!$A:$B,2,FALSE),""),IFERROR(INDEX(DQAF_Input!$F$2:$F$170,MATCH(128,DQAF_Input!$Z$2:$Z$170,0)),"")))</f>
        <v/>
      </c>
      <c r="C129" s="4" t="str">
        <f>IF($A129="","",INDEX(DQAF_Input!$H$2:$H$170,MATCH(128,DQAF_Input!$Z$2:$Z$170,0)))</f>
        <v/>
      </c>
    </row>
    <row r="130" spans="1:3" x14ac:dyDescent="0.25">
      <c r="A130" s="10" t="str">
        <f>IFERROR(INDEX(DQAF_Input!$E$2:$E$170,MATCH(129,DQAF_Input!$Z$2:$Z$170,0)),"")</f>
        <v/>
      </c>
      <c r="B130" s="4" t="str">
        <f>IF($A130="","",IF(IFERROR(VLOOKUP($A130,__rbp_p!$A:$B,2,FALSE),"")&lt;&gt;"",IFERROR(VLOOKUP($A130,__rbp_p!$A:$B,2,FALSE),""),IFERROR(INDEX(DQAF_Input!$F$2:$F$170,MATCH(129,DQAF_Input!$Z$2:$Z$170,0)),"")))</f>
        <v/>
      </c>
      <c r="C130" s="4" t="str">
        <f>IF($A130="","",INDEX(DQAF_Input!$H$2:$H$170,MATCH(129,DQAF_Input!$Z$2:$Z$170,0)))</f>
        <v/>
      </c>
    </row>
    <row r="131" spans="1:3" x14ac:dyDescent="0.25">
      <c r="A131" s="10" t="str">
        <f>IFERROR(INDEX(DQAF_Input!$E$2:$E$170,MATCH(130,DQAF_Input!$Z$2:$Z$170,0)),"")</f>
        <v/>
      </c>
      <c r="B131" s="4" t="str">
        <f>IF($A131="","",IF(IFERROR(VLOOKUP($A131,__rbp_p!$A:$B,2,FALSE),"")&lt;&gt;"",IFERROR(VLOOKUP($A131,__rbp_p!$A:$B,2,FALSE),""),IFERROR(INDEX(DQAF_Input!$F$2:$F$170,MATCH(130,DQAF_Input!$Z$2:$Z$170,0)),"")))</f>
        <v/>
      </c>
      <c r="C131" s="4" t="str">
        <f>IF($A131="","",INDEX(DQAF_Input!$H$2:$H$170,MATCH(130,DQAF_Input!$Z$2:$Z$170,0)))</f>
        <v/>
      </c>
    </row>
    <row r="132" spans="1:3" x14ac:dyDescent="0.25">
      <c r="A132" s="10" t="str">
        <f>IFERROR(INDEX(DQAF_Input!$E$2:$E$170,MATCH(131,DQAF_Input!$Z$2:$Z$170,0)),"")</f>
        <v/>
      </c>
      <c r="B132" s="4" t="str">
        <f>IF($A132="","",IF(IFERROR(VLOOKUP($A132,__rbp_p!$A:$B,2,FALSE),"")&lt;&gt;"",IFERROR(VLOOKUP($A132,__rbp_p!$A:$B,2,FALSE),""),IFERROR(INDEX(DQAF_Input!$F$2:$F$170,MATCH(131,DQAF_Input!$Z$2:$Z$170,0)),"")))</f>
        <v/>
      </c>
      <c r="C132" s="4" t="str">
        <f>IF($A132="","",INDEX(DQAF_Input!$H$2:$H$170,MATCH(131,DQAF_Input!$Z$2:$Z$170,0)))</f>
        <v/>
      </c>
    </row>
    <row r="133" spans="1:3" x14ac:dyDescent="0.25">
      <c r="A133" s="10" t="str">
        <f>IFERROR(INDEX(DQAF_Input!$E$2:$E$170,MATCH(132,DQAF_Input!$Z$2:$Z$170,0)),"")</f>
        <v/>
      </c>
      <c r="B133" s="4" t="str">
        <f>IF($A133="","",IF(IFERROR(VLOOKUP($A133,__rbp_p!$A:$B,2,FALSE),"")&lt;&gt;"",IFERROR(VLOOKUP($A133,__rbp_p!$A:$B,2,FALSE),""),IFERROR(INDEX(DQAF_Input!$F$2:$F$170,MATCH(132,DQAF_Input!$Z$2:$Z$170,0)),"")))</f>
        <v/>
      </c>
      <c r="C133" s="4" t="str">
        <f>IF($A133="","",INDEX(DQAF_Input!$H$2:$H$170,MATCH(132,DQAF_Input!$Z$2:$Z$170,0)))</f>
        <v/>
      </c>
    </row>
    <row r="134" spans="1:3" x14ac:dyDescent="0.25">
      <c r="A134" s="10" t="str">
        <f>IFERROR(INDEX(DQAF_Input!$E$2:$E$170,MATCH(133,DQAF_Input!$Z$2:$Z$170,0)),"")</f>
        <v/>
      </c>
      <c r="B134" s="4" t="str">
        <f>IF($A134="","",IF(IFERROR(VLOOKUP($A134,__rbp_p!$A:$B,2,FALSE),"")&lt;&gt;"",IFERROR(VLOOKUP($A134,__rbp_p!$A:$B,2,FALSE),""),IFERROR(INDEX(DQAF_Input!$F$2:$F$170,MATCH(133,DQAF_Input!$Z$2:$Z$170,0)),"")))</f>
        <v/>
      </c>
      <c r="C134" s="4" t="str">
        <f>IF($A134="","",INDEX(DQAF_Input!$H$2:$H$170,MATCH(133,DQAF_Input!$Z$2:$Z$170,0)))</f>
        <v/>
      </c>
    </row>
    <row r="135" spans="1:3" x14ac:dyDescent="0.25">
      <c r="A135" s="10" t="str">
        <f>IFERROR(INDEX(DQAF_Input!$E$2:$E$170,MATCH(134,DQAF_Input!$Z$2:$Z$170,0)),"")</f>
        <v/>
      </c>
      <c r="B135" s="4" t="str">
        <f>IF($A135="","",IF(IFERROR(VLOOKUP($A135,__rbp_p!$A:$B,2,FALSE),"")&lt;&gt;"",IFERROR(VLOOKUP($A135,__rbp_p!$A:$B,2,FALSE),""),IFERROR(INDEX(DQAF_Input!$F$2:$F$170,MATCH(134,DQAF_Input!$Z$2:$Z$170,0)),"")))</f>
        <v/>
      </c>
      <c r="C135" s="4" t="str">
        <f>IF($A135="","",INDEX(DQAF_Input!$H$2:$H$170,MATCH(134,DQAF_Input!$Z$2:$Z$170,0)))</f>
        <v/>
      </c>
    </row>
    <row r="136" spans="1:3" x14ac:dyDescent="0.25">
      <c r="A136" s="10" t="str">
        <f>IFERROR(INDEX(DQAF_Input!$E$2:$E$170,MATCH(135,DQAF_Input!$Z$2:$Z$170,0)),"")</f>
        <v/>
      </c>
      <c r="B136" s="4" t="str">
        <f>IF($A136="","",IF(IFERROR(VLOOKUP($A136,__rbp_p!$A:$B,2,FALSE),"")&lt;&gt;"",IFERROR(VLOOKUP($A136,__rbp_p!$A:$B,2,FALSE),""),IFERROR(INDEX(DQAF_Input!$F$2:$F$170,MATCH(135,DQAF_Input!$Z$2:$Z$170,0)),"")))</f>
        <v/>
      </c>
      <c r="C136" s="4" t="str">
        <f>IF($A136="","",INDEX(DQAF_Input!$H$2:$H$170,MATCH(135,DQAF_Input!$Z$2:$Z$170,0)))</f>
        <v/>
      </c>
    </row>
    <row r="137" spans="1:3" x14ac:dyDescent="0.25">
      <c r="A137" s="10" t="str">
        <f>IFERROR(INDEX(DQAF_Input!$E$2:$E$170,MATCH(136,DQAF_Input!$Z$2:$Z$170,0)),"")</f>
        <v/>
      </c>
      <c r="B137" s="4" t="str">
        <f>IF($A137="","",IF(IFERROR(VLOOKUP($A137,__rbp_p!$A:$B,2,FALSE),"")&lt;&gt;"",IFERROR(VLOOKUP($A137,__rbp_p!$A:$B,2,FALSE),""),IFERROR(INDEX(DQAF_Input!$F$2:$F$170,MATCH(136,DQAF_Input!$Z$2:$Z$170,0)),"")))</f>
        <v/>
      </c>
      <c r="C137" s="4" t="str">
        <f>IF($A137="","",INDEX(DQAF_Input!$H$2:$H$170,MATCH(136,DQAF_Input!$Z$2:$Z$170,0)))</f>
        <v/>
      </c>
    </row>
    <row r="138" spans="1:3" x14ac:dyDescent="0.25">
      <c r="A138" s="10" t="str">
        <f>IFERROR(INDEX(DQAF_Input!$E$2:$E$170,MATCH(137,DQAF_Input!$Z$2:$Z$170,0)),"")</f>
        <v/>
      </c>
      <c r="B138" s="4" t="str">
        <f>IF($A138="","",IF(IFERROR(VLOOKUP($A138,__rbp_p!$A:$B,2,FALSE),"")&lt;&gt;"",IFERROR(VLOOKUP($A138,__rbp_p!$A:$B,2,FALSE),""),IFERROR(INDEX(DQAF_Input!$F$2:$F$170,MATCH(137,DQAF_Input!$Z$2:$Z$170,0)),"")))</f>
        <v/>
      </c>
      <c r="C138" s="4" t="str">
        <f>IF($A138="","",INDEX(DQAF_Input!$H$2:$H$170,MATCH(137,DQAF_Input!$Z$2:$Z$170,0)))</f>
        <v/>
      </c>
    </row>
    <row r="139" spans="1:3" x14ac:dyDescent="0.25">
      <c r="A139" s="10" t="str">
        <f>IFERROR(INDEX(DQAF_Input!$E$2:$E$170,MATCH(138,DQAF_Input!$Z$2:$Z$170,0)),"")</f>
        <v/>
      </c>
      <c r="B139" s="4" t="str">
        <f>IF($A139="","",IF(IFERROR(VLOOKUP($A139,__rbp_p!$A:$B,2,FALSE),"")&lt;&gt;"",IFERROR(VLOOKUP($A139,__rbp_p!$A:$B,2,FALSE),""),IFERROR(INDEX(DQAF_Input!$F$2:$F$170,MATCH(138,DQAF_Input!$Z$2:$Z$170,0)),"")))</f>
        <v/>
      </c>
      <c r="C139" s="4" t="str">
        <f>IF($A139="","",INDEX(DQAF_Input!$H$2:$H$170,MATCH(138,DQAF_Input!$Z$2:$Z$170,0)))</f>
        <v/>
      </c>
    </row>
    <row r="140" spans="1:3" x14ac:dyDescent="0.25">
      <c r="A140" s="10" t="str">
        <f>IFERROR(INDEX(DQAF_Input!$E$2:$E$170,MATCH(139,DQAF_Input!$Z$2:$Z$170,0)),"")</f>
        <v/>
      </c>
      <c r="B140" s="4" t="str">
        <f>IF($A140="","",IF(IFERROR(VLOOKUP($A140,__rbp_p!$A:$B,2,FALSE),"")&lt;&gt;"",IFERROR(VLOOKUP($A140,__rbp_p!$A:$B,2,FALSE),""),IFERROR(INDEX(DQAF_Input!$F$2:$F$170,MATCH(139,DQAF_Input!$Z$2:$Z$170,0)),"")))</f>
        <v/>
      </c>
      <c r="C140" s="4" t="str">
        <f>IF($A140="","",INDEX(DQAF_Input!$H$2:$H$170,MATCH(139,DQAF_Input!$Z$2:$Z$170,0)))</f>
        <v/>
      </c>
    </row>
    <row r="141" spans="1:3" x14ac:dyDescent="0.25">
      <c r="A141" s="10" t="str">
        <f>IFERROR(INDEX(DQAF_Input!$E$2:$E$170,MATCH(140,DQAF_Input!$Z$2:$Z$170,0)),"")</f>
        <v/>
      </c>
      <c r="B141" s="4" t="str">
        <f>IF($A141="","",IF(IFERROR(VLOOKUP($A141,__rbp_p!$A:$B,2,FALSE),"")&lt;&gt;"",IFERROR(VLOOKUP($A141,__rbp_p!$A:$B,2,FALSE),""),IFERROR(INDEX(DQAF_Input!$F$2:$F$170,MATCH(140,DQAF_Input!$Z$2:$Z$170,0)),"")))</f>
        <v/>
      </c>
      <c r="C141" s="4" t="str">
        <f>IF($A141="","",INDEX(DQAF_Input!$H$2:$H$170,MATCH(140,DQAF_Input!$Z$2:$Z$170,0)))</f>
        <v/>
      </c>
    </row>
    <row r="142" spans="1:3" x14ac:dyDescent="0.25">
      <c r="A142" s="10" t="str">
        <f>IFERROR(INDEX(DQAF_Input!$E$2:$E$170,MATCH(141,DQAF_Input!$Z$2:$Z$170,0)),"")</f>
        <v/>
      </c>
      <c r="B142" s="4" t="str">
        <f>IF($A142="","",IF(IFERROR(VLOOKUP($A142,__rbp_p!$A:$B,2,FALSE),"")&lt;&gt;"",IFERROR(VLOOKUP($A142,__rbp_p!$A:$B,2,FALSE),""),IFERROR(INDEX(DQAF_Input!$F$2:$F$170,MATCH(141,DQAF_Input!$Z$2:$Z$170,0)),"")))</f>
        <v/>
      </c>
      <c r="C142" s="4" t="str">
        <f>IF($A142="","",INDEX(DQAF_Input!$H$2:$H$170,MATCH(141,DQAF_Input!$Z$2:$Z$170,0)))</f>
        <v/>
      </c>
    </row>
    <row r="143" spans="1:3" x14ac:dyDescent="0.25">
      <c r="A143" s="10" t="str">
        <f>IFERROR(INDEX(DQAF_Input!$E$2:$E$170,MATCH(142,DQAF_Input!$Z$2:$Z$170,0)),"")</f>
        <v/>
      </c>
      <c r="B143" s="4" t="str">
        <f>IF($A143="","",IF(IFERROR(VLOOKUP($A143,__rbp_p!$A:$B,2,FALSE),"")&lt;&gt;"",IFERROR(VLOOKUP($A143,__rbp_p!$A:$B,2,FALSE),""),IFERROR(INDEX(DQAF_Input!$F$2:$F$170,MATCH(142,DQAF_Input!$Z$2:$Z$170,0)),"")))</f>
        <v/>
      </c>
      <c r="C143" s="4" t="str">
        <f>IF($A143="","",INDEX(DQAF_Input!$H$2:$H$170,MATCH(142,DQAF_Input!$Z$2:$Z$170,0)))</f>
        <v/>
      </c>
    </row>
    <row r="144" spans="1:3" x14ac:dyDescent="0.25">
      <c r="A144" s="10" t="str">
        <f>IFERROR(INDEX(DQAF_Input!$E$2:$E$170,MATCH(143,DQAF_Input!$Z$2:$Z$170,0)),"")</f>
        <v/>
      </c>
      <c r="B144" s="4" t="str">
        <f>IF($A144="","",IF(IFERROR(VLOOKUP($A144,__rbp_p!$A:$B,2,FALSE),"")&lt;&gt;"",IFERROR(VLOOKUP($A144,__rbp_p!$A:$B,2,FALSE),""),IFERROR(INDEX(DQAF_Input!$F$2:$F$170,MATCH(143,DQAF_Input!$Z$2:$Z$170,0)),"")))</f>
        <v/>
      </c>
      <c r="C144" s="4" t="str">
        <f>IF($A144="","",INDEX(DQAF_Input!$H$2:$H$170,MATCH(143,DQAF_Input!$Z$2:$Z$170,0)))</f>
        <v/>
      </c>
    </row>
    <row r="145" spans="1:3" x14ac:dyDescent="0.25">
      <c r="A145" s="10" t="str">
        <f>IFERROR(INDEX(DQAF_Input!$E$2:$E$170,MATCH(144,DQAF_Input!$Z$2:$Z$170,0)),"")</f>
        <v/>
      </c>
      <c r="B145" s="4" t="str">
        <f>IF($A145="","",IF(IFERROR(VLOOKUP($A145,__rbp_p!$A:$B,2,FALSE),"")&lt;&gt;"",IFERROR(VLOOKUP($A145,__rbp_p!$A:$B,2,FALSE),""),IFERROR(INDEX(DQAF_Input!$F$2:$F$170,MATCH(144,DQAF_Input!$Z$2:$Z$170,0)),"")))</f>
        <v/>
      </c>
      <c r="C145" s="4" t="str">
        <f>IF($A145="","",INDEX(DQAF_Input!$H$2:$H$170,MATCH(144,DQAF_Input!$Z$2:$Z$170,0)))</f>
        <v/>
      </c>
    </row>
    <row r="146" spans="1:3" x14ac:dyDescent="0.25">
      <c r="A146" s="10" t="str">
        <f>IFERROR(INDEX(DQAF_Input!$E$2:$E$170,MATCH(145,DQAF_Input!$Z$2:$Z$170,0)),"")</f>
        <v/>
      </c>
      <c r="B146" s="4" t="str">
        <f>IF($A146="","",IF(IFERROR(VLOOKUP($A146,__rbp_p!$A:$B,2,FALSE),"")&lt;&gt;"",IFERROR(VLOOKUP($A146,__rbp_p!$A:$B,2,FALSE),""),IFERROR(INDEX(DQAF_Input!$F$2:$F$170,MATCH(145,DQAF_Input!$Z$2:$Z$170,0)),"")))</f>
        <v/>
      </c>
      <c r="C146" s="4" t="str">
        <f>IF($A146="","",INDEX(DQAF_Input!$H$2:$H$170,MATCH(145,DQAF_Input!$Z$2:$Z$170,0)))</f>
        <v/>
      </c>
    </row>
    <row r="147" spans="1:3" x14ac:dyDescent="0.25">
      <c r="A147" s="10" t="str">
        <f>IFERROR(INDEX(DQAF_Input!$E$2:$E$170,MATCH(146,DQAF_Input!$Z$2:$Z$170,0)),"")</f>
        <v/>
      </c>
      <c r="B147" s="4" t="str">
        <f>IF($A147="","",IF(IFERROR(VLOOKUP($A147,__rbp_p!$A:$B,2,FALSE),"")&lt;&gt;"",IFERROR(VLOOKUP($A147,__rbp_p!$A:$B,2,FALSE),""),IFERROR(INDEX(DQAF_Input!$F$2:$F$170,MATCH(146,DQAF_Input!$Z$2:$Z$170,0)),"")))</f>
        <v/>
      </c>
      <c r="C147" s="4" t="str">
        <f>IF($A147="","",INDEX(DQAF_Input!$H$2:$H$170,MATCH(146,DQAF_Input!$Z$2:$Z$170,0)))</f>
        <v/>
      </c>
    </row>
    <row r="148" spans="1:3" x14ac:dyDescent="0.25">
      <c r="A148" s="10" t="str">
        <f>IFERROR(INDEX(DQAF_Input!$E$2:$E$170,MATCH(147,DQAF_Input!$Z$2:$Z$170,0)),"")</f>
        <v/>
      </c>
      <c r="B148" s="4" t="str">
        <f>IF($A148="","",IF(IFERROR(VLOOKUP($A148,__rbp_p!$A:$B,2,FALSE),"")&lt;&gt;"",IFERROR(VLOOKUP($A148,__rbp_p!$A:$B,2,FALSE),""),IFERROR(INDEX(DQAF_Input!$F$2:$F$170,MATCH(147,DQAF_Input!$Z$2:$Z$170,0)),"")))</f>
        <v/>
      </c>
      <c r="C148" s="4" t="str">
        <f>IF($A148="","",INDEX(DQAF_Input!$H$2:$H$170,MATCH(147,DQAF_Input!$Z$2:$Z$170,0)))</f>
        <v/>
      </c>
    </row>
    <row r="149" spans="1:3" x14ac:dyDescent="0.25">
      <c r="A149" s="10" t="str">
        <f>IFERROR(INDEX(DQAF_Input!$E$2:$E$170,MATCH(148,DQAF_Input!$Z$2:$Z$170,0)),"")</f>
        <v/>
      </c>
      <c r="B149" s="4" t="str">
        <f>IF($A149="","",IF(IFERROR(VLOOKUP($A149,__rbp_p!$A:$B,2,FALSE),"")&lt;&gt;"",IFERROR(VLOOKUP($A149,__rbp_p!$A:$B,2,FALSE),""),IFERROR(INDEX(DQAF_Input!$F$2:$F$170,MATCH(148,DQAF_Input!$Z$2:$Z$170,0)),"")))</f>
        <v/>
      </c>
      <c r="C149" s="4" t="str">
        <f>IF($A149="","",INDEX(DQAF_Input!$H$2:$H$170,MATCH(148,DQAF_Input!$Z$2:$Z$170,0)))</f>
        <v/>
      </c>
    </row>
    <row r="150" spans="1:3" x14ac:dyDescent="0.25">
      <c r="A150" s="10" t="str">
        <f>IFERROR(INDEX(DQAF_Input!$E$2:$E$170,MATCH(149,DQAF_Input!$Z$2:$Z$170,0)),"")</f>
        <v/>
      </c>
      <c r="B150" s="4" t="str">
        <f>IF($A150="","",IF(IFERROR(VLOOKUP($A150,__rbp_p!$A:$B,2,FALSE),"")&lt;&gt;"",IFERROR(VLOOKUP($A150,__rbp_p!$A:$B,2,FALSE),""),IFERROR(INDEX(DQAF_Input!$F$2:$F$170,MATCH(149,DQAF_Input!$Z$2:$Z$170,0)),"")))</f>
        <v/>
      </c>
      <c r="C150" s="4" t="str">
        <f>IF($A150="","",INDEX(DQAF_Input!$H$2:$H$170,MATCH(149,DQAF_Input!$Z$2:$Z$170,0)))</f>
        <v/>
      </c>
    </row>
    <row r="151" spans="1:3" x14ac:dyDescent="0.25">
      <c r="A151" s="10" t="str">
        <f>IFERROR(INDEX(DQAF_Input!$E$2:$E$170,MATCH(150,DQAF_Input!$Z$2:$Z$170,0)),"")</f>
        <v/>
      </c>
      <c r="B151" s="4" t="str">
        <f>IF($A151="","",IF(IFERROR(VLOOKUP($A151,__rbp_p!$A:$B,2,FALSE),"")&lt;&gt;"",IFERROR(VLOOKUP($A151,__rbp_p!$A:$B,2,FALSE),""),IFERROR(INDEX(DQAF_Input!$F$2:$F$170,MATCH(150,DQAF_Input!$Z$2:$Z$170,0)),"")))</f>
        <v/>
      </c>
      <c r="C151" s="4" t="str">
        <f>IF($A151="","",INDEX(DQAF_Input!$H$2:$H$170,MATCH(150,DQAF_Input!$Z$2:$Z$170,0)))</f>
        <v/>
      </c>
    </row>
    <row r="152" spans="1:3" x14ac:dyDescent="0.25">
      <c r="A152" s="10" t="str">
        <f>IFERROR(INDEX(DQAF_Input!$E$2:$E$170,MATCH(151,DQAF_Input!$Z$2:$Z$170,0)),"")</f>
        <v/>
      </c>
      <c r="B152" s="4" t="str">
        <f>IF($A152="","",IF(IFERROR(VLOOKUP($A152,__rbp_p!$A:$B,2,FALSE),"")&lt;&gt;"",IFERROR(VLOOKUP($A152,__rbp_p!$A:$B,2,FALSE),""),IFERROR(INDEX(DQAF_Input!$F$2:$F$170,MATCH(151,DQAF_Input!$Z$2:$Z$170,0)),"")))</f>
        <v/>
      </c>
      <c r="C152" s="4" t="str">
        <f>IF($A152="","",INDEX(DQAF_Input!$H$2:$H$170,MATCH(151,DQAF_Input!$Z$2:$Z$170,0)))</f>
        <v/>
      </c>
    </row>
    <row r="153" spans="1:3" x14ac:dyDescent="0.25">
      <c r="A153" s="10" t="str">
        <f>IFERROR(INDEX(DQAF_Input!$E$2:$E$170,MATCH(152,DQAF_Input!$Z$2:$Z$170,0)),"")</f>
        <v/>
      </c>
      <c r="B153" s="4" t="str">
        <f>IF($A153="","",IF(IFERROR(VLOOKUP($A153,__rbp_p!$A:$B,2,FALSE),"")&lt;&gt;"",IFERROR(VLOOKUP($A153,__rbp_p!$A:$B,2,FALSE),""),IFERROR(INDEX(DQAF_Input!$F$2:$F$170,MATCH(152,DQAF_Input!$Z$2:$Z$170,0)),"")))</f>
        <v/>
      </c>
      <c r="C153" s="4" t="str">
        <f>IF($A153="","",INDEX(DQAF_Input!$H$2:$H$170,MATCH(152,DQAF_Input!$Z$2:$Z$170,0)))</f>
        <v/>
      </c>
    </row>
    <row r="154" spans="1:3" x14ac:dyDescent="0.25">
      <c r="A154" s="10" t="str">
        <f>IFERROR(INDEX(DQAF_Input!$E$2:$E$170,MATCH(153,DQAF_Input!$Z$2:$Z$170,0)),"")</f>
        <v/>
      </c>
      <c r="B154" s="4" t="str">
        <f>IF($A154="","",IF(IFERROR(VLOOKUP($A154,__rbp_p!$A:$B,2,FALSE),"")&lt;&gt;"",IFERROR(VLOOKUP($A154,__rbp_p!$A:$B,2,FALSE),""),IFERROR(INDEX(DQAF_Input!$F$2:$F$170,MATCH(153,DQAF_Input!$Z$2:$Z$170,0)),"")))</f>
        <v/>
      </c>
      <c r="C154" s="4" t="str">
        <f>IF($A154="","",INDEX(DQAF_Input!$H$2:$H$170,MATCH(153,DQAF_Input!$Z$2:$Z$170,0)))</f>
        <v/>
      </c>
    </row>
    <row r="155" spans="1:3" x14ac:dyDescent="0.25">
      <c r="A155" s="10" t="str">
        <f>IFERROR(INDEX(DQAF_Input!$E$2:$E$170,MATCH(154,DQAF_Input!$Z$2:$Z$170,0)),"")</f>
        <v/>
      </c>
      <c r="B155" s="4" t="str">
        <f>IF($A155="","",IF(IFERROR(VLOOKUP($A155,__rbp_p!$A:$B,2,FALSE),"")&lt;&gt;"",IFERROR(VLOOKUP($A155,__rbp_p!$A:$B,2,FALSE),""),IFERROR(INDEX(DQAF_Input!$F$2:$F$170,MATCH(154,DQAF_Input!$Z$2:$Z$170,0)),"")))</f>
        <v/>
      </c>
      <c r="C155" s="4" t="str">
        <f>IF($A155="","",INDEX(DQAF_Input!$H$2:$H$170,MATCH(154,DQAF_Input!$Z$2:$Z$170,0)))</f>
        <v/>
      </c>
    </row>
    <row r="156" spans="1:3" x14ac:dyDescent="0.25">
      <c r="A156" s="10" t="str">
        <f>IFERROR(INDEX(DQAF_Input!$E$2:$E$170,MATCH(155,DQAF_Input!$Z$2:$Z$170,0)),"")</f>
        <v/>
      </c>
      <c r="B156" s="4" t="str">
        <f>IF($A156="","",IF(IFERROR(VLOOKUP($A156,__rbp_p!$A:$B,2,FALSE),"")&lt;&gt;"",IFERROR(VLOOKUP($A156,__rbp_p!$A:$B,2,FALSE),""),IFERROR(INDEX(DQAF_Input!$F$2:$F$170,MATCH(155,DQAF_Input!$Z$2:$Z$170,0)),"")))</f>
        <v/>
      </c>
      <c r="C156" s="4" t="str">
        <f>IF($A156="","",INDEX(DQAF_Input!$H$2:$H$170,MATCH(155,DQAF_Input!$Z$2:$Z$170,0)))</f>
        <v/>
      </c>
    </row>
    <row r="157" spans="1:3" x14ac:dyDescent="0.25">
      <c r="A157" s="10" t="str">
        <f>IFERROR(INDEX(DQAF_Input!$E$2:$E$170,MATCH(156,DQAF_Input!$Z$2:$Z$170,0)),"")</f>
        <v/>
      </c>
      <c r="B157" s="4" t="str">
        <f>IF($A157="","",IF(IFERROR(VLOOKUP($A157,__rbp_p!$A:$B,2,FALSE),"")&lt;&gt;"",IFERROR(VLOOKUP($A157,__rbp_p!$A:$B,2,FALSE),""),IFERROR(INDEX(DQAF_Input!$F$2:$F$170,MATCH(156,DQAF_Input!$Z$2:$Z$170,0)),"")))</f>
        <v/>
      </c>
      <c r="C157" s="4" t="str">
        <f>IF($A157="","",INDEX(DQAF_Input!$H$2:$H$170,MATCH(156,DQAF_Input!$Z$2:$Z$170,0)))</f>
        <v/>
      </c>
    </row>
    <row r="158" spans="1:3" x14ac:dyDescent="0.25">
      <c r="A158" s="10" t="str">
        <f>IFERROR(INDEX(DQAF_Input!$E$2:$E$170,MATCH(157,DQAF_Input!$Z$2:$Z$170,0)),"")</f>
        <v/>
      </c>
      <c r="B158" s="4" t="str">
        <f>IF($A158="","",IF(IFERROR(VLOOKUP($A158,__rbp_p!$A:$B,2,FALSE),"")&lt;&gt;"",IFERROR(VLOOKUP($A158,__rbp_p!$A:$B,2,FALSE),""),IFERROR(INDEX(DQAF_Input!$F$2:$F$170,MATCH(157,DQAF_Input!$Z$2:$Z$170,0)),"")))</f>
        <v/>
      </c>
      <c r="C158" s="4" t="str">
        <f>IF($A158="","",INDEX(DQAF_Input!$H$2:$H$170,MATCH(157,DQAF_Input!$Z$2:$Z$170,0)))</f>
        <v/>
      </c>
    </row>
    <row r="159" spans="1:3" x14ac:dyDescent="0.25">
      <c r="A159" s="10" t="str">
        <f>IFERROR(INDEX(DQAF_Input!$E$2:$E$170,MATCH(158,DQAF_Input!$Z$2:$Z$170,0)),"")</f>
        <v/>
      </c>
      <c r="B159" s="4" t="str">
        <f>IF($A159="","",IF(IFERROR(VLOOKUP($A159,__rbp_p!$A:$B,2,FALSE),"")&lt;&gt;"",IFERROR(VLOOKUP($A159,__rbp_p!$A:$B,2,FALSE),""),IFERROR(INDEX(DQAF_Input!$F$2:$F$170,MATCH(158,DQAF_Input!$Z$2:$Z$170,0)),"")))</f>
        <v/>
      </c>
      <c r="C159" s="4" t="str">
        <f>IF($A159="","",INDEX(DQAF_Input!$H$2:$H$170,MATCH(158,DQAF_Input!$Z$2:$Z$170,0)))</f>
        <v/>
      </c>
    </row>
    <row r="160" spans="1:3" x14ac:dyDescent="0.25">
      <c r="A160" s="10" t="str">
        <f>IFERROR(INDEX(DQAF_Input!$E$2:$E$170,MATCH(159,DQAF_Input!$Z$2:$Z$170,0)),"")</f>
        <v/>
      </c>
      <c r="B160" s="4" t="str">
        <f>IF($A160="","",IF(IFERROR(VLOOKUP($A160,__rbp_p!$A:$B,2,FALSE),"")&lt;&gt;"",IFERROR(VLOOKUP($A160,__rbp_p!$A:$B,2,FALSE),""),IFERROR(INDEX(DQAF_Input!$F$2:$F$170,MATCH(159,DQAF_Input!$Z$2:$Z$170,0)),"")))</f>
        <v/>
      </c>
      <c r="C160" s="4" t="str">
        <f>IF($A160="","",INDEX(DQAF_Input!$H$2:$H$170,MATCH(159,DQAF_Input!$Z$2:$Z$170,0)))</f>
        <v/>
      </c>
    </row>
    <row r="161" spans="1:3" x14ac:dyDescent="0.25">
      <c r="A161" s="10" t="str">
        <f>IFERROR(INDEX(DQAF_Input!$E$2:$E$170,MATCH(160,DQAF_Input!$Z$2:$Z$170,0)),"")</f>
        <v/>
      </c>
      <c r="B161" s="4" t="str">
        <f>IF($A161="","",IF(IFERROR(VLOOKUP($A161,__rbp_p!$A:$B,2,FALSE),"")&lt;&gt;"",IFERROR(VLOOKUP($A161,__rbp_p!$A:$B,2,FALSE),""),IFERROR(INDEX(DQAF_Input!$F$2:$F$170,MATCH(160,DQAF_Input!$Z$2:$Z$170,0)),"")))</f>
        <v/>
      </c>
      <c r="C161" s="4" t="str">
        <f>IF($A161="","",INDEX(DQAF_Input!$H$2:$H$170,MATCH(160,DQAF_Input!$Z$2:$Z$170,0)))</f>
        <v/>
      </c>
    </row>
    <row r="162" spans="1:3" x14ac:dyDescent="0.25">
      <c r="A162" s="10" t="str">
        <f>IFERROR(INDEX(DQAF_Input!$E$2:$E$170,MATCH(161,DQAF_Input!$Z$2:$Z$170,0)),"")</f>
        <v/>
      </c>
      <c r="B162" s="4" t="str">
        <f>IF($A162="","",IF(IFERROR(VLOOKUP($A162,__rbp_p!$A:$B,2,FALSE),"")&lt;&gt;"",IFERROR(VLOOKUP($A162,__rbp_p!$A:$B,2,FALSE),""),IFERROR(INDEX(DQAF_Input!$F$2:$F$170,MATCH(161,DQAF_Input!$Z$2:$Z$170,0)),"")))</f>
        <v/>
      </c>
      <c r="C162" s="4" t="str">
        <f>IF($A162="","",INDEX(DQAF_Input!$H$2:$H$170,MATCH(161,DQAF_Input!$Z$2:$Z$170,0)))</f>
        <v/>
      </c>
    </row>
    <row r="163" spans="1:3" x14ac:dyDescent="0.25">
      <c r="A163" s="10" t="str">
        <f>IFERROR(INDEX(DQAF_Input!$E$2:$E$170,MATCH(162,DQAF_Input!$Z$2:$Z$170,0)),"")</f>
        <v/>
      </c>
      <c r="B163" s="4" t="str">
        <f>IF($A163="","",IF(IFERROR(VLOOKUP($A163,__rbp_p!$A:$B,2,FALSE),"")&lt;&gt;"",IFERROR(VLOOKUP($A163,__rbp_p!$A:$B,2,FALSE),""),IFERROR(INDEX(DQAF_Input!$F$2:$F$170,MATCH(162,DQAF_Input!$Z$2:$Z$170,0)),"")))</f>
        <v/>
      </c>
      <c r="C163" s="4" t="str">
        <f>IF($A163="","",INDEX(DQAF_Input!$H$2:$H$170,MATCH(162,DQAF_Input!$Z$2:$Z$170,0)))</f>
        <v/>
      </c>
    </row>
    <row r="164" spans="1:3" x14ac:dyDescent="0.25">
      <c r="A164" s="10" t="str">
        <f>IFERROR(INDEX(DQAF_Input!$E$2:$E$170,MATCH(163,DQAF_Input!$Z$2:$Z$170,0)),"")</f>
        <v/>
      </c>
      <c r="B164" s="4" t="str">
        <f>IF($A164="","",IF(IFERROR(VLOOKUP($A164,__rbp_p!$A:$B,2,FALSE),"")&lt;&gt;"",IFERROR(VLOOKUP($A164,__rbp_p!$A:$B,2,FALSE),""),IFERROR(INDEX(DQAF_Input!$F$2:$F$170,MATCH(163,DQAF_Input!$Z$2:$Z$170,0)),"")))</f>
        <v/>
      </c>
      <c r="C164" s="4" t="str">
        <f>IF($A164="","",INDEX(DQAF_Input!$H$2:$H$170,MATCH(163,DQAF_Input!$Z$2:$Z$170,0)))</f>
        <v/>
      </c>
    </row>
    <row r="165" spans="1:3" x14ac:dyDescent="0.25">
      <c r="A165" s="10" t="str">
        <f>IFERROR(INDEX(DQAF_Input!$E$2:$E$170,MATCH(164,DQAF_Input!$Z$2:$Z$170,0)),"")</f>
        <v/>
      </c>
      <c r="B165" s="4" t="str">
        <f>IF($A165="","",IF(IFERROR(VLOOKUP($A165,__rbp_p!$A:$B,2,FALSE),"")&lt;&gt;"",IFERROR(VLOOKUP($A165,__rbp_p!$A:$B,2,FALSE),""),IFERROR(INDEX(DQAF_Input!$F$2:$F$170,MATCH(164,DQAF_Input!$Z$2:$Z$170,0)),"")))</f>
        <v/>
      </c>
      <c r="C165" s="4" t="str">
        <f>IF($A165="","",INDEX(DQAF_Input!$H$2:$H$170,MATCH(164,DQAF_Input!$Z$2:$Z$170,0)))</f>
        <v/>
      </c>
    </row>
    <row r="166" spans="1:3" x14ac:dyDescent="0.25">
      <c r="A166" s="10" t="str">
        <f>IFERROR(INDEX(DQAF_Input!$E$2:$E$170,MATCH(165,DQAF_Input!$Z$2:$Z$170,0)),"")</f>
        <v/>
      </c>
      <c r="B166" s="4" t="str">
        <f>IF($A166="","",IF(IFERROR(VLOOKUP($A166,__rbp_p!$A:$B,2,FALSE),"")&lt;&gt;"",IFERROR(VLOOKUP($A166,__rbp_p!$A:$B,2,FALSE),""),IFERROR(INDEX(DQAF_Input!$F$2:$F$170,MATCH(165,DQAF_Input!$Z$2:$Z$170,0)),"")))</f>
        <v/>
      </c>
      <c r="C166" s="4" t="str">
        <f>IF($A166="","",INDEX(DQAF_Input!$H$2:$H$170,MATCH(165,DQAF_Input!$Z$2:$Z$170,0)))</f>
        <v/>
      </c>
    </row>
    <row r="167" spans="1:3" x14ac:dyDescent="0.25">
      <c r="A167" s="10" t="str">
        <f>IFERROR(INDEX(DQAF_Input!$E$2:$E$170,MATCH(166,DQAF_Input!$Z$2:$Z$170,0)),"")</f>
        <v/>
      </c>
      <c r="B167" s="4" t="str">
        <f>IF($A167="","",IF(IFERROR(VLOOKUP($A167,__rbp_p!$A:$B,2,FALSE),"")&lt;&gt;"",IFERROR(VLOOKUP($A167,__rbp_p!$A:$B,2,FALSE),""),IFERROR(INDEX(DQAF_Input!$F$2:$F$170,MATCH(166,DQAF_Input!$Z$2:$Z$170,0)),"")))</f>
        <v/>
      </c>
      <c r="C167" s="4" t="str">
        <f>IF($A167="","",INDEX(DQAF_Input!$H$2:$H$170,MATCH(166,DQAF_Input!$Z$2:$Z$170,0)))</f>
        <v/>
      </c>
    </row>
    <row r="168" spans="1:3" x14ac:dyDescent="0.25">
      <c r="A168" s="10" t="str">
        <f>IFERROR(INDEX(DQAF_Input!$E$2:$E$170,MATCH(167,DQAF_Input!$Z$2:$Z$170,0)),"")</f>
        <v/>
      </c>
      <c r="B168" s="4" t="str">
        <f>IF($A168="","",IF(IFERROR(VLOOKUP($A168,__rbp_p!$A:$B,2,FALSE),"")&lt;&gt;"",IFERROR(VLOOKUP($A168,__rbp_p!$A:$B,2,FALSE),""),IFERROR(INDEX(DQAF_Input!$F$2:$F$170,MATCH(167,DQAF_Input!$Z$2:$Z$170,0)),"")))</f>
        <v/>
      </c>
      <c r="C168" s="4" t="str">
        <f>IF($A168="","",INDEX(DQAF_Input!$H$2:$H$170,MATCH(167,DQAF_Input!$Z$2:$Z$170,0)))</f>
        <v/>
      </c>
    </row>
    <row r="169" spans="1:3" x14ac:dyDescent="0.25">
      <c r="A169" s="10" t="str">
        <f>IFERROR(INDEX(DQAF_Input!$E$2:$E$170,MATCH(168,DQAF_Input!$Z$2:$Z$170,0)),"")</f>
        <v/>
      </c>
      <c r="B169" s="4" t="str">
        <f>IF($A169="","",IF(IFERROR(VLOOKUP($A169,__rbp_p!$A:$B,2,FALSE),"")&lt;&gt;"",IFERROR(VLOOKUP($A169,__rbp_p!$A:$B,2,FALSE),""),IFERROR(INDEX(DQAF_Input!$F$2:$F$170,MATCH(168,DQAF_Input!$Z$2:$Z$170,0)),"")))</f>
        <v/>
      </c>
      <c r="C169" s="4" t="str">
        <f>IF($A169="","",INDEX(DQAF_Input!$H$2:$H$170,MATCH(168,DQAF_Input!$Z$2:$Z$170,0)))</f>
        <v/>
      </c>
    </row>
    <row r="170" spans="1:3" x14ac:dyDescent="0.25">
      <c r="A170" s="10" t="str">
        <f>IFERROR(INDEX(DQAF_Input!$E$2:$E$170,MATCH(169,DQAF_Input!$Z$2:$Z$170,0)),"")</f>
        <v/>
      </c>
      <c r="B170" s="4" t="str">
        <f>IF($A170="","",IF(IFERROR(VLOOKUP($A170,__rbp_p!$A:$B,2,FALSE),"")&lt;&gt;"",IFERROR(VLOOKUP($A170,__rbp_p!$A:$B,2,FALSE),""),IFERROR(INDEX(DQAF_Input!$F$2:$F$170,MATCH(169,DQAF_Input!$Z$2:$Z$170,0)),"")))</f>
        <v/>
      </c>
      <c r="C170" s="4" t="str">
        <f>IF($A170="","",INDEX(DQAF_Input!$H$2:$H$170,MATCH(169,DQAF_Input!$Z$2:$Z$170,0)))</f>
        <v/>
      </c>
    </row>
  </sheetData>
  <sheetProtection algorithmName="SHA-512" hashValue="O/JxtVlYtKVzhtX27RCZCj1QUKds/0Yn3TEj+t5cmH6vYubD5r3AXMDwX8sodKj/mgo82ctDKjr1nIGFhlvJkQ==" saltValue="7AG99pfIJEVzNh1mwk1alw==" spinCount="100000" sheet="1" objects="1" scenarios="1"/>
  <pageMargins left="0.05" right="0.05" top="0.05" bottom="0.05" header="0" footer="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0"/>
  <sheetViews>
    <sheetView workbookViewId="0">
      <pane ySplit="1" topLeftCell="A2" activePane="bottomLeft" state="frozen"/>
      <selection activeCell="H18" sqref="H18"/>
      <selection pane="bottomLeft" activeCell="H18" sqref="H18"/>
    </sheetView>
  </sheetViews>
  <sheetFormatPr defaultRowHeight="15" x14ac:dyDescent="0.25"/>
  <cols>
    <col min="1" max="1" width="18" customWidth="1"/>
    <col min="2" max="2" width="16" customWidth="1"/>
    <col min="3" max="3" width="60" customWidth="1"/>
    <col min="4" max="5" width="55" customWidth="1"/>
    <col min="6" max="6" width="75" customWidth="1"/>
  </cols>
  <sheetData>
    <row r="1" spans="1:6" ht="24.95" customHeight="1" x14ac:dyDescent="0.25">
      <c r="A1" s="2" t="s">
        <v>30</v>
      </c>
      <c r="B1" s="2" t="s">
        <v>20</v>
      </c>
      <c r="C1" s="2" t="s">
        <v>21</v>
      </c>
      <c r="D1" s="2" t="s">
        <v>23</v>
      </c>
      <c r="E1" s="2" t="s">
        <v>24</v>
      </c>
      <c r="F1" s="2" t="s">
        <v>26</v>
      </c>
    </row>
    <row r="2" spans="1:6" x14ac:dyDescent="0.25">
      <c r="A2" s="10" t="str">
        <f>IF($B2="","",IFERROR(INDEX(DQAF_Input!$P$2:$P$170,MATCH(1,DQAF_Input!$AG$2:$AG$170,0)),""))</f>
        <v/>
      </c>
      <c r="B2" s="10" t="str">
        <f>IFERROR(INDEX(DQAF_Input!$E$2:$E$170,MATCH(1,DQAF_Input!$AG$2:$AG$170,0)),"")</f>
        <v/>
      </c>
      <c r="C2" s="4" t="str">
        <f>IF($B2="","",IF(IFERROR(VLOOKUP($B2,__rbp_p!$A:$B,2,FALSE),"")&lt;&gt;"",IFERROR(VLOOKUP($B2,__rbp_p!$A:$B,2,FALSE),""),IFERROR(INDEX(DQAF_Input!$F$2:$F$170,MATCH(1,DQAF_Input!$AG$2:$AG$170,0)),"")))</f>
        <v/>
      </c>
      <c r="D2" s="4" t="str">
        <f>IF($B2="","",IFERROR(INDEX(DQAF_Input!$H$2:$H$170,MATCH(1,DQAF_Input!$AG$2:$AG$170,0)),""))</f>
        <v/>
      </c>
      <c r="E2" s="4" t="str">
        <f>IF($B2="","",IFERROR(INDEX(DQAF_Input!$J$2:$J$170,MATCH(1,DQAF_Input!$AG$2:$AG$170,0)),""))</f>
        <v/>
      </c>
      <c r="F2" s="4" t="str">
        <f>IF($B2="","",IFERROR(INDEX(DQAF_Input!$L$2:$L$170,MATCH(1,DQAF_Input!$AG$2:$AG$170,0)),""))</f>
        <v/>
      </c>
    </row>
    <row r="3" spans="1:6" x14ac:dyDescent="0.25">
      <c r="A3" s="10" t="str">
        <f>IF($B3="","",IFERROR(INDEX(DQAF_Input!$P$2:$P$170,MATCH(2,DQAF_Input!$AG$2:$AG$170,0)),""))</f>
        <v/>
      </c>
      <c r="B3" s="10" t="str">
        <f>IFERROR(INDEX(DQAF_Input!$E$2:$E$170,MATCH(2,DQAF_Input!$AG$2:$AG$170,0)),"")</f>
        <v/>
      </c>
      <c r="C3" s="4" t="str">
        <f>IF($B3="","",IF(IFERROR(VLOOKUP($B3,__rbp_p!$A:$B,2,FALSE),"")&lt;&gt;"",IFERROR(VLOOKUP($B3,__rbp_p!$A:$B,2,FALSE),""),IFERROR(INDEX(DQAF_Input!$F$2:$F$170,MATCH(2,DQAF_Input!$AG$2:$AG$170,0)),"")))</f>
        <v/>
      </c>
      <c r="D3" s="4" t="str">
        <f>IF($B3="","",IFERROR(INDEX(DQAF_Input!$H$2:$H$170,MATCH(2,DQAF_Input!$AG$2:$AG$170,0)),""))</f>
        <v/>
      </c>
      <c r="E3" s="4" t="str">
        <f>IF($B3="","",IFERROR(INDEX(DQAF_Input!$J$2:$J$170,MATCH(2,DQAF_Input!$AG$2:$AG$170,0)),""))</f>
        <v/>
      </c>
      <c r="F3" s="4" t="str">
        <f>IF($B3="","",IFERROR(INDEX(DQAF_Input!$L$2:$L$170,MATCH(2,DQAF_Input!$AG$2:$AG$170,0)),""))</f>
        <v/>
      </c>
    </row>
    <row r="4" spans="1:6" x14ac:dyDescent="0.25">
      <c r="A4" s="10" t="str">
        <f>IF($B4="","",IFERROR(INDEX(DQAF_Input!$P$2:$P$170,MATCH(3,DQAF_Input!$AG$2:$AG$170,0)),""))</f>
        <v/>
      </c>
      <c r="B4" s="10" t="str">
        <f>IFERROR(INDEX(DQAF_Input!$E$2:$E$170,MATCH(3,DQAF_Input!$AG$2:$AG$170,0)),"")</f>
        <v/>
      </c>
      <c r="C4" s="4" t="str">
        <f>IF($B4="","",IF(IFERROR(VLOOKUP($B4,__rbp_p!$A:$B,2,FALSE),"")&lt;&gt;"",IFERROR(VLOOKUP($B4,__rbp_p!$A:$B,2,FALSE),""),IFERROR(INDEX(DQAF_Input!$F$2:$F$170,MATCH(3,DQAF_Input!$AG$2:$AG$170,0)),"")))</f>
        <v/>
      </c>
      <c r="D4" s="4" t="str">
        <f>IF($B4="","",IFERROR(INDEX(DQAF_Input!$H$2:$H$170,MATCH(3,DQAF_Input!$AG$2:$AG$170,0)),""))</f>
        <v/>
      </c>
      <c r="E4" s="4" t="str">
        <f>IF($B4="","",IFERROR(INDEX(DQAF_Input!$J$2:$J$170,MATCH(3,DQAF_Input!$AG$2:$AG$170,0)),""))</f>
        <v/>
      </c>
      <c r="F4" s="4" t="str">
        <f>IF($B4="","",IFERROR(INDEX(DQAF_Input!$L$2:$L$170,MATCH(3,DQAF_Input!$AG$2:$AG$170,0)),""))</f>
        <v/>
      </c>
    </row>
    <row r="5" spans="1:6" x14ac:dyDescent="0.25">
      <c r="A5" s="10" t="str">
        <f>IF($B5="","",IFERROR(INDEX(DQAF_Input!$P$2:$P$170,MATCH(4,DQAF_Input!$AG$2:$AG$170,0)),""))</f>
        <v/>
      </c>
      <c r="B5" s="10" t="str">
        <f>IFERROR(INDEX(DQAF_Input!$E$2:$E$170,MATCH(4,DQAF_Input!$AG$2:$AG$170,0)),"")</f>
        <v/>
      </c>
      <c r="C5" s="4" t="str">
        <f>IF($B5="","",IF(IFERROR(VLOOKUP($B5,__rbp_p!$A:$B,2,FALSE),"")&lt;&gt;"",IFERROR(VLOOKUP($B5,__rbp_p!$A:$B,2,FALSE),""),IFERROR(INDEX(DQAF_Input!$F$2:$F$170,MATCH(4,DQAF_Input!$AG$2:$AG$170,0)),"")))</f>
        <v/>
      </c>
      <c r="D5" s="4" t="str">
        <f>IF($B5="","",IFERROR(INDEX(DQAF_Input!$H$2:$H$170,MATCH(4,DQAF_Input!$AG$2:$AG$170,0)),""))</f>
        <v/>
      </c>
      <c r="E5" s="4" t="str">
        <f>IF($B5="","",IFERROR(INDEX(DQAF_Input!$J$2:$J$170,MATCH(4,DQAF_Input!$AG$2:$AG$170,0)),""))</f>
        <v/>
      </c>
      <c r="F5" s="4" t="str">
        <f>IF($B5="","",IFERROR(INDEX(DQAF_Input!$L$2:$L$170,MATCH(4,DQAF_Input!$AG$2:$AG$170,0)),""))</f>
        <v/>
      </c>
    </row>
    <row r="6" spans="1:6" x14ac:dyDescent="0.25">
      <c r="A6" s="10" t="str">
        <f>IF($B6="","",IFERROR(INDEX(DQAF_Input!$P$2:$P$170,MATCH(5,DQAF_Input!$AG$2:$AG$170,0)),""))</f>
        <v/>
      </c>
      <c r="B6" s="10" t="str">
        <f>IFERROR(INDEX(DQAF_Input!$E$2:$E$170,MATCH(5,DQAF_Input!$AG$2:$AG$170,0)),"")</f>
        <v/>
      </c>
      <c r="C6" s="4" t="str">
        <f>IF($B6="","",IF(IFERROR(VLOOKUP($B6,__rbp_p!$A:$B,2,FALSE),"")&lt;&gt;"",IFERROR(VLOOKUP($B6,__rbp_p!$A:$B,2,FALSE),""),IFERROR(INDEX(DQAF_Input!$F$2:$F$170,MATCH(5,DQAF_Input!$AG$2:$AG$170,0)),"")))</f>
        <v/>
      </c>
      <c r="D6" s="4" t="str">
        <f>IF($B6="","",IFERROR(INDEX(DQAF_Input!$H$2:$H$170,MATCH(5,DQAF_Input!$AG$2:$AG$170,0)),""))</f>
        <v/>
      </c>
      <c r="E6" s="4" t="str">
        <f>IF($B6="","",IFERROR(INDEX(DQAF_Input!$J$2:$J$170,MATCH(5,DQAF_Input!$AG$2:$AG$170,0)),""))</f>
        <v/>
      </c>
      <c r="F6" s="4" t="str">
        <f>IF($B6="","",IFERROR(INDEX(DQAF_Input!$L$2:$L$170,MATCH(5,DQAF_Input!$AG$2:$AG$170,0)),""))</f>
        <v/>
      </c>
    </row>
    <row r="7" spans="1:6" x14ac:dyDescent="0.25">
      <c r="A7" s="10" t="str">
        <f>IF($B7="","",IFERROR(INDEX(DQAF_Input!$P$2:$P$170,MATCH(6,DQAF_Input!$AG$2:$AG$170,0)),""))</f>
        <v/>
      </c>
      <c r="B7" s="10" t="str">
        <f>IFERROR(INDEX(DQAF_Input!$E$2:$E$170,MATCH(6,DQAF_Input!$AG$2:$AG$170,0)),"")</f>
        <v/>
      </c>
      <c r="C7" s="4" t="str">
        <f>IF($B7="","",IF(IFERROR(VLOOKUP($B7,__rbp_p!$A:$B,2,FALSE),"")&lt;&gt;"",IFERROR(VLOOKUP($B7,__rbp_p!$A:$B,2,FALSE),""),IFERROR(INDEX(DQAF_Input!$F$2:$F$170,MATCH(6,DQAF_Input!$AG$2:$AG$170,0)),"")))</f>
        <v/>
      </c>
      <c r="D7" s="4" t="str">
        <f>IF($B7="","",IFERROR(INDEX(DQAF_Input!$H$2:$H$170,MATCH(6,DQAF_Input!$AG$2:$AG$170,0)),""))</f>
        <v/>
      </c>
      <c r="E7" s="4" t="str">
        <f>IF($B7="","",IFERROR(INDEX(DQAF_Input!$J$2:$J$170,MATCH(6,DQAF_Input!$AG$2:$AG$170,0)),""))</f>
        <v/>
      </c>
      <c r="F7" s="4" t="str">
        <f>IF($B7="","",IFERROR(INDEX(DQAF_Input!$L$2:$L$170,MATCH(6,DQAF_Input!$AG$2:$AG$170,0)),""))</f>
        <v/>
      </c>
    </row>
    <row r="8" spans="1:6" x14ac:dyDescent="0.25">
      <c r="A8" s="10" t="str">
        <f>IF($B8="","",IFERROR(INDEX(DQAF_Input!$P$2:$P$170,MATCH(7,DQAF_Input!$AG$2:$AG$170,0)),""))</f>
        <v/>
      </c>
      <c r="B8" s="10" t="str">
        <f>IFERROR(INDEX(DQAF_Input!$E$2:$E$170,MATCH(7,DQAF_Input!$AG$2:$AG$170,0)),"")</f>
        <v/>
      </c>
      <c r="C8" s="4" t="str">
        <f>IF($B8="","",IF(IFERROR(VLOOKUP($B8,__rbp_p!$A:$B,2,FALSE),"")&lt;&gt;"",IFERROR(VLOOKUP($B8,__rbp_p!$A:$B,2,FALSE),""),IFERROR(INDEX(DQAF_Input!$F$2:$F$170,MATCH(7,DQAF_Input!$AG$2:$AG$170,0)),"")))</f>
        <v/>
      </c>
      <c r="D8" s="4" t="str">
        <f>IF($B8="","",IFERROR(INDEX(DQAF_Input!$H$2:$H$170,MATCH(7,DQAF_Input!$AG$2:$AG$170,0)),""))</f>
        <v/>
      </c>
      <c r="E8" s="4" t="str">
        <f>IF($B8="","",IFERROR(INDEX(DQAF_Input!$J$2:$J$170,MATCH(7,DQAF_Input!$AG$2:$AG$170,0)),""))</f>
        <v/>
      </c>
      <c r="F8" s="4" t="str">
        <f>IF($B8="","",IFERROR(INDEX(DQAF_Input!$L$2:$L$170,MATCH(7,DQAF_Input!$AG$2:$AG$170,0)),""))</f>
        <v/>
      </c>
    </row>
    <row r="9" spans="1:6" x14ac:dyDescent="0.25">
      <c r="A9" s="10" t="str">
        <f>IF($B9="","",IFERROR(INDEX(DQAF_Input!$P$2:$P$170,MATCH(8,DQAF_Input!$AG$2:$AG$170,0)),""))</f>
        <v/>
      </c>
      <c r="B9" s="10" t="str">
        <f>IFERROR(INDEX(DQAF_Input!$E$2:$E$170,MATCH(8,DQAF_Input!$AG$2:$AG$170,0)),"")</f>
        <v/>
      </c>
      <c r="C9" s="4" t="str">
        <f>IF($B9="","",IF(IFERROR(VLOOKUP($B9,__rbp_p!$A:$B,2,FALSE),"")&lt;&gt;"",IFERROR(VLOOKUP($B9,__rbp_p!$A:$B,2,FALSE),""),IFERROR(INDEX(DQAF_Input!$F$2:$F$170,MATCH(8,DQAF_Input!$AG$2:$AG$170,0)),"")))</f>
        <v/>
      </c>
      <c r="D9" s="4" t="str">
        <f>IF($B9="","",IFERROR(INDEX(DQAF_Input!$H$2:$H$170,MATCH(8,DQAF_Input!$AG$2:$AG$170,0)),""))</f>
        <v/>
      </c>
      <c r="E9" s="4" t="str">
        <f>IF($B9="","",IFERROR(INDEX(DQAF_Input!$J$2:$J$170,MATCH(8,DQAF_Input!$AG$2:$AG$170,0)),""))</f>
        <v/>
      </c>
      <c r="F9" s="4" t="str">
        <f>IF($B9="","",IFERROR(INDEX(DQAF_Input!$L$2:$L$170,MATCH(8,DQAF_Input!$AG$2:$AG$170,0)),""))</f>
        <v/>
      </c>
    </row>
    <row r="10" spans="1:6" x14ac:dyDescent="0.25">
      <c r="A10" s="10" t="str">
        <f>IF($B10="","",IFERROR(INDEX(DQAF_Input!$P$2:$P$170,MATCH(9,DQAF_Input!$AG$2:$AG$170,0)),""))</f>
        <v/>
      </c>
      <c r="B10" s="10" t="str">
        <f>IFERROR(INDEX(DQAF_Input!$E$2:$E$170,MATCH(9,DQAF_Input!$AG$2:$AG$170,0)),"")</f>
        <v/>
      </c>
      <c r="C10" s="4" t="str">
        <f>IF($B10="","",IF(IFERROR(VLOOKUP($B10,__rbp_p!$A:$B,2,FALSE),"")&lt;&gt;"",IFERROR(VLOOKUP($B10,__rbp_p!$A:$B,2,FALSE),""),IFERROR(INDEX(DQAF_Input!$F$2:$F$170,MATCH(9,DQAF_Input!$AG$2:$AG$170,0)),"")))</f>
        <v/>
      </c>
      <c r="D10" s="4" t="str">
        <f>IF($B10="","",IFERROR(INDEX(DQAF_Input!$H$2:$H$170,MATCH(9,DQAF_Input!$AG$2:$AG$170,0)),""))</f>
        <v/>
      </c>
      <c r="E10" s="4" t="str">
        <f>IF($B10="","",IFERROR(INDEX(DQAF_Input!$J$2:$J$170,MATCH(9,DQAF_Input!$AG$2:$AG$170,0)),""))</f>
        <v/>
      </c>
      <c r="F10" s="4" t="str">
        <f>IF($B10="","",IFERROR(INDEX(DQAF_Input!$L$2:$L$170,MATCH(9,DQAF_Input!$AG$2:$AG$170,0)),""))</f>
        <v/>
      </c>
    </row>
    <row r="11" spans="1:6" x14ac:dyDescent="0.25">
      <c r="A11" s="10" t="str">
        <f>IF($B11="","",IFERROR(INDEX(DQAF_Input!$P$2:$P$170,MATCH(10,DQAF_Input!$AG$2:$AG$170,0)),""))</f>
        <v/>
      </c>
      <c r="B11" s="10" t="str">
        <f>IFERROR(INDEX(DQAF_Input!$E$2:$E$170,MATCH(10,DQAF_Input!$AG$2:$AG$170,0)),"")</f>
        <v/>
      </c>
      <c r="C11" s="4" t="str">
        <f>IF($B11="","",IF(IFERROR(VLOOKUP($B11,__rbp_p!$A:$B,2,FALSE),"")&lt;&gt;"",IFERROR(VLOOKUP($B11,__rbp_p!$A:$B,2,FALSE),""),IFERROR(INDEX(DQAF_Input!$F$2:$F$170,MATCH(10,DQAF_Input!$AG$2:$AG$170,0)),"")))</f>
        <v/>
      </c>
      <c r="D11" s="4" t="str">
        <f>IF($B11="","",IFERROR(INDEX(DQAF_Input!$H$2:$H$170,MATCH(10,DQAF_Input!$AG$2:$AG$170,0)),""))</f>
        <v/>
      </c>
      <c r="E11" s="4" t="str">
        <f>IF($B11="","",IFERROR(INDEX(DQAF_Input!$J$2:$J$170,MATCH(10,DQAF_Input!$AG$2:$AG$170,0)),""))</f>
        <v/>
      </c>
      <c r="F11" s="4" t="str">
        <f>IF($B11="","",IFERROR(INDEX(DQAF_Input!$L$2:$L$170,MATCH(10,DQAF_Input!$AG$2:$AG$170,0)),""))</f>
        <v/>
      </c>
    </row>
    <row r="12" spans="1:6" x14ac:dyDescent="0.25">
      <c r="A12" s="10" t="str">
        <f>IF($B12="","",IFERROR(INDEX(DQAF_Input!$P$2:$P$170,MATCH(11,DQAF_Input!$AG$2:$AG$170,0)),""))</f>
        <v/>
      </c>
      <c r="B12" s="10" t="str">
        <f>IFERROR(INDEX(DQAF_Input!$E$2:$E$170,MATCH(11,DQAF_Input!$AG$2:$AG$170,0)),"")</f>
        <v/>
      </c>
      <c r="C12" s="4" t="str">
        <f>IF($B12="","",IF(IFERROR(VLOOKUP($B12,__rbp_p!$A:$B,2,FALSE),"")&lt;&gt;"",IFERROR(VLOOKUP($B12,__rbp_p!$A:$B,2,FALSE),""),IFERROR(INDEX(DQAF_Input!$F$2:$F$170,MATCH(11,DQAF_Input!$AG$2:$AG$170,0)),"")))</f>
        <v/>
      </c>
      <c r="D12" s="4" t="str">
        <f>IF($B12="","",IFERROR(INDEX(DQAF_Input!$H$2:$H$170,MATCH(11,DQAF_Input!$AG$2:$AG$170,0)),""))</f>
        <v/>
      </c>
      <c r="E12" s="4" t="str">
        <f>IF($B12="","",IFERROR(INDEX(DQAF_Input!$J$2:$J$170,MATCH(11,DQAF_Input!$AG$2:$AG$170,0)),""))</f>
        <v/>
      </c>
      <c r="F12" s="4" t="str">
        <f>IF($B12="","",IFERROR(INDEX(DQAF_Input!$L$2:$L$170,MATCH(11,DQAF_Input!$AG$2:$AG$170,0)),""))</f>
        <v/>
      </c>
    </row>
    <row r="13" spans="1:6" x14ac:dyDescent="0.25">
      <c r="A13" s="10" t="str">
        <f>IF($B13="","",IFERROR(INDEX(DQAF_Input!$P$2:$P$170,MATCH(12,DQAF_Input!$AG$2:$AG$170,0)),""))</f>
        <v/>
      </c>
      <c r="B13" s="10" t="str">
        <f>IFERROR(INDEX(DQAF_Input!$E$2:$E$170,MATCH(12,DQAF_Input!$AG$2:$AG$170,0)),"")</f>
        <v/>
      </c>
      <c r="C13" s="4" t="str">
        <f>IF($B13="","",IF(IFERROR(VLOOKUP($B13,__rbp_p!$A:$B,2,FALSE),"")&lt;&gt;"",IFERROR(VLOOKUP($B13,__rbp_p!$A:$B,2,FALSE),""),IFERROR(INDEX(DQAF_Input!$F$2:$F$170,MATCH(12,DQAF_Input!$AG$2:$AG$170,0)),"")))</f>
        <v/>
      </c>
      <c r="D13" s="4" t="str">
        <f>IF($B13="","",IFERROR(INDEX(DQAF_Input!$H$2:$H$170,MATCH(12,DQAF_Input!$AG$2:$AG$170,0)),""))</f>
        <v/>
      </c>
      <c r="E13" s="4" t="str">
        <f>IF($B13="","",IFERROR(INDEX(DQAF_Input!$J$2:$J$170,MATCH(12,DQAF_Input!$AG$2:$AG$170,0)),""))</f>
        <v/>
      </c>
      <c r="F13" s="4" t="str">
        <f>IF($B13="","",IFERROR(INDEX(DQAF_Input!$L$2:$L$170,MATCH(12,DQAF_Input!$AG$2:$AG$170,0)),""))</f>
        <v/>
      </c>
    </row>
    <row r="14" spans="1:6" x14ac:dyDescent="0.25">
      <c r="A14" s="10" t="str">
        <f>IF($B14="","",IFERROR(INDEX(DQAF_Input!$P$2:$P$170,MATCH(13,DQAF_Input!$AG$2:$AG$170,0)),""))</f>
        <v/>
      </c>
      <c r="B14" s="10" t="str">
        <f>IFERROR(INDEX(DQAF_Input!$E$2:$E$170,MATCH(13,DQAF_Input!$AG$2:$AG$170,0)),"")</f>
        <v/>
      </c>
      <c r="C14" s="4" t="str">
        <f>IF($B14="","",IF(IFERROR(VLOOKUP($B14,__rbp_p!$A:$B,2,FALSE),"")&lt;&gt;"",IFERROR(VLOOKUP($B14,__rbp_p!$A:$B,2,FALSE),""),IFERROR(INDEX(DQAF_Input!$F$2:$F$170,MATCH(13,DQAF_Input!$AG$2:$AG$170,0)),"")))</f>
        <v/>
      </c>
      <c r="D14" s="4" t="str">
        <f>IF($B14="","",IFERROR(INDEX(DQAF_Input!$H$2:$H$170,MATCH(13,DQAF_Input!$AG$2:$AG$170,0)),""))</f>
        <v/>
      </c>
      <c r="E14" s="4" t="str">
        <f>IF($B14="","",IFERROR(INDEX(DQAF_Input!$J$2:$J$170,MATCH(13,DQAF_Input!$AG$2:$AG$170,0)),""))</f>
        <v/>
      </c>
      <c r="F14" s="4" t="str">
        <f>IF($B14="","",IFERROR(INDEX(DQAF_Input!$L$2:$L$170,MATCH(13,DQAF_Input!$AG$2:$AG$170,0)),""))</f>
        <v/>
      </c>
    </row>
    <row r="15" spans="1:6" x14ac:dyDescent="0.25">
      <c r="A15" s="10" t="str">
        <f>IF($B15="","",IFERROR(INDEX(DQAF_Input!$P$2:$P$170,MATCH(14,DQAF_Input!$AG$2:$AG$170,0)),""))</f>
        <v/>
      </c>
      <c r="B15" s="10" t="str">
        <f>IFERROR(INDEX(DQAF_Input!$E$2:$E$170,MATCH(14,DQAF_Input!$AG$2:$AG$170,0)),"")</f>
        <v/>
      </c>
      <c r="C15" s="4" t="str">
        <f>IF($B15="","",IF(IFERROR(VLOOKUP($B15,__rbp_p!$A:$B,2,FALSE),"")&lt;&gt;"",IFERROR(VLOOKUP($B15,__rbp_p!$A:$B,2,FALSE),""),IFERROR(INDEX(DQAF_Input!$F$2:$F$170,MATCH(14,DQAF_Input!$AG$2:$AG$170,0)),"")))</f>
        <v/>
      </c>
      <c r="D15" s="4" t="str">
        <f>IF($B15="","",IFERROR(INDEX(DQAF_Input!$H$2:$H$170,MATCH(14,DQAF_Input!$AG$2:$AG$170,0)),""))</f>
        <v/>
      </c>
      <c r="E15" s="4" t="str">
        <f>IF($B15="","",IFERROR(INDEX(DQAF_Input!$J$2:$J$170,MATCH(14,DQAF_Input!$AG$2:$AG$170,0)),""))</f>
        <v/>
      </c>
      <c r="F15" s="4" t="str">
        <f>IF($B15="","",IFERROR(INDEX(DQAF_Input!$L$2:$L$170,MATCH(14,DQAF_Input!$AG$2:$AG$170,0)),""))</f>
        <v/>
      </c>
    </row>
    <row r="16" spans="1:6" x14ac:dyDescent="0.25">
      <c r="A16" s="10" t="str">
        <f>IF($B16="","",IFERROR(INDEX(DQAF_Input!$P$2:$P$170,MATCH(15,DQAF_Input!$AG$2:$AG$170,0)),""))</f>
        <v/>
      </c>
      <c r="B16" s="10" t="str">
        <f>IFERROR(INDEX(DQAF_Input!$E$2:$E$170,MATCH(15,DQAF_Input!$AG$2:$AG$170,0)),"")</f>
        <v/>
      </c>
      <c r="C16" s="4" t="str">
        <f>IF($B16="","",IF(IFERROR(VLOOKUP($B16,__rbp_p!$A:$B,2,FALSE),"")&lt;&gt;"",IFERROR(VLOOKUP($B16,__rbp_p!$A:$B,2,FALSE),""),IFERROR(INDEX(DQAF_Input!$F$2:$F$170,MATCH(15,DQAF_Input!$AG$2:$AG$170,0)),"")))</f>
        <v/>
      </c>
      <c r="D16" s="4" t="str">
        <f>IF($B16="","",IFERROR(INDEX(DQAF_Input!$H$2:$H$170,MATCH(15,DQAF_Input!$AG$2:$AG$170,0)),""))</f>
        <v/>
      </c>
      <c r="E16" s="4" t="str">
        <f>IF($B16="","",IFERROR(INDEX(DQAF_Input!$J$2:$J$170,MATCH(15,DQAF_Input!$AG$2:$AG$170,0)),""))</f>
        <v/>
      </c>
      <c r="F16" s="4" t="str">
        <f>IF($B16="","",IFERROR(INDEX(DQAF_Input!$L$2:$L$170,MATCH(15,DQAF_Input!$AG$2:$AG$170,0)),""))</f>
        <v/>
      </c>
    </row>
    <row r="17" spans="1:6" x14ac:dyDescent="0.25">
      <c r="A17" s="10" t="str">
        <f>IF($B17="","",IFERROR(INDEX(DQAF_Input!$P$2:$P$170,MATCH(16,DQAF_Input!$AG$2:$AG$170,0)),""))</f>
        <v/>
      </c>
      <c r="B17" s="10" t="str">
        <f>IFERROR(INDEX(DQAF_Input!$E$2:$E$170,MATCH(16,DQAF_Input!$AG$2:$AG$170,0)),"")</f>
        <v/>
      </c>
      <c r="C17" s="4" t="str">
        <f>IF($B17="","",IF(IFERROR(VLOOKUP($B17,__rbp_p!$A:$B,2,FALSE),"")&lt;&gt;"",IFERROR(VLOOKUP($B17,__rbp_p!$A:$B,2,FALSE),""),IFERROR(INDEX(DQAF_Input!$F$2:$F$170,MATCH(16,DQAF_Input!$AG$2:$AG$170,0)),"")))</f>
        <v/>
      </c>
      <c r="D17" s="4" t="str">
        <f>IF($B17="","",IFERROR(INDEX(DQAF_Input!$H$2:$H$170,MATCH(16,DQAF_Input!$AG$2:$AG$170,0)),""))</f>
        <v/>
      </c>
      <c r="E17" s="4" t="str">
        <f>IF($B17="","",IFERROR(INDEX(DQAF_Input!$J$2:$J$170,MATCH(16,DQAF_Input!$AG$2:$AG$170,0)),""))</f>
        <v/>
      </c>
      <c r="F17" s="4" t="str">
        <f>IF($B17="","",IFERROR(INDEX(DQAF_Input!$L$2:$L$170,MATCH(16,DQAF_Input!$AG$2:$AG$170,0)),""))</f>
        <v/>
      </c>
    </row>
    <row r="18" spans="1:6" x14ac:dyDescent="0.25">
      <c r="A18" s="10" t="str">
        <f>IF($B18="","",IFERROR(INDEX(DQAF_Input!$P$2:$P$170,MATCH(17,DQAF_Input!$AG$2:$AG$170,0)),""))</f>
        <v/>
      </c>
      <c r="B18" s="10" t="str">
        <f>IFERROR(INDEX(DQAF_Input!$E$2:$E$170,MATCH(17,DQAF_Input!$AG$2:$AG$170,0)),"")</f>
        <v/>
      </c>
      <c r="C18" s="4" t="str">
        <f>IF($B18="","",IF(IFERROR(VLOOKUP($B18,__rbp_p!$A:$B,2,FALSE),"")&lt;&gt;"",IFERROR(VLOOKUP($B18,__rbp_p!$A:$B,2,FALSE),""),IFERROR(INDEX(DQAF_Input!$F$2:$F$170,MATCH(17,DQAF_Input!$AG$2:$AG$170,0)),"")))</f>
        <v/>
      </c>
      <c r="D18" s="4" t="str">
        <f>IF($B18="","",IFERROR(INDEX(DQAF_Input!$H$2:$H$170,MATCH(17,DQAF_Input!$AG$2:$AG$170,0)),""))</f>
        <v/>
      </c>
      <c r="E18" s="4" t="str">
        <f>IF($B18="","",IFERROR(INDEX(DQAF_Input!$J$2:$J$170,MATCH(17,DQAF_Input!$AG$2:$AG$170,0)),""))</f>
        <v/>
      </c>
      <c r="F18" s="4" t="str">
        <f>IF($B18="","",IFERROR(INDEX(DQAF_Input!$L$2:$L$170,MATCH(17,DQAF_Input!$AG$2:$AG$170,0)),""))</f>
        <v/>
      </c>
    </row>
    <row r="19" spans="1:6" x14ac:dyDescent="0.25">
      <c r="A19" s="10" t="str">
        <f>IF($B19="","",IFERROR(INDEX(DQAF_Input!$P$2:$P$170,MATCH(18,DQAF_Input!$AG$2:$AG$170,0)),""))</f>
        <v/>
      </c>
      <c r="B19" s="10" t="str">
        <f>IFERROR(INDEX(DQAF_Input!$E$2:$E$170,MATCH(18,DQAF_Input!$AG$2:$AG$170,0)),"")</f>
        <v/>
      </c>
      <c r="C19" s="4" t="str">
        <f>IF($B19="","",IF(IFERROR(VLOOKUP($B19,__rbp_p!$A:$B,2,FALSE),"")&lt;&gt;"",IFERROR(VLOOKUP($B19,__rbp_p!$A:$B,2,FALSE),""),IFERROR(INDEX(DQAF_Input!$F$2:$F$170,MATCH(18,DQAF_Input!$AG$2:$AG$170,0)),"")))</f>
        <v/>
      </c>
      <c r="D19" s="4" t="str">
        <f>IF($B19="","",IFERROR(INDEX(DQAF_Input!$H$2:$H$170,MATCH(18,DQAF_Input!$AG$2:$AG$170,0)),""))</f>
        <v/>
      </c>
      <c r="E19" s="4" t="str">
        <f>IF($B19="","",IFERROR(INDEX(DQAF_Input!$J$2:$J$170,MATCH(18,DQAF_Input!$AG$2:$AG$170,0)),""))</f>
        <v/>
      </c>
      <c r="F19" s="4" t="str">
        <f>IF($B19="","",IFERROR(INDEX(DQAF_Input!$L$2:$L$170,MATCH(18,DQAF_Input!$AG$2:$AG$170,0)),""))</f>
        <v/>
      </c>
    </row>
    <row r="20" spans="1:6" x14ac:dyDescent="0.25">
      <c r="A20" s="10" t="str">
        <f>IF($B20="","",IFERROR(INDEX(DQAF_Input!$P$2:$P$170,MATCH(19,DQAF_Input!$AG$2:$AG$170,0)),""))</f>
        <v/>
      </c>
      <c r="B20" s="10" t="str">
        <f>IFERROR(INDEX(DQAF_Input!$E$2:$E$170,MATCH(19,DQAF_Input!$AG$2:$AG$170,0)),"")</f>
        <v/>
      </c>
      <c r="C20" s="4" t="str">
        <f>IF($B20="","",IF(IFERROR(VLOOKUP($B20,__rbp_p!$A:$B,2,FALSE),"")&lt;&gt;"",IFERROR(VLOOKUP($B20,__rbp_p!$A:$B,2,FALSE),""),IFERROR(INDEX(DQAF_Input!$F$2:$F$170,MATCH(19,DQAF_Input!$AG$2:$AG$170,0)),"")))</f>
        <v/>
      </c>
      <c r="D20" s="4" t="str">
        <f>IF($B20="","",IFERROR(INDEX(DQAF_Input!$H$2:$H$170,MATCH(19,DQAF_Input!$AG$2:$AG$170,0)),""))</f>
        <v/>
      </c>
      <c r="E20" s="4" t="str">
        <f>IF($B20="","",IFERROR(INDEX(DQAF_Input!$J$2:$J$170,MATCH(19,DQAF_Input!$AG$2:$AG$170,0)),""))</f>
        <v/>
      </c>
      <c r="F20" s="4" t="str">
        <f>IF($B20="","",IFERROR(INDEX(DQAF_Input!$L$2:$L$170,MATCH(19,DQAF_Input!$AG$2:$AG$170,0)),""))</f>
        <v/>
      </c>
    </row>
    <row r="21" spans="1:6" x14ac:dyDescent="0.25">
      <c r="A21" s="10" t="str">
        <f>IF($B21="","",IFERROR(INDEX(DQAF_Input!$P$2:$P$170,MATCH(20,DQAF_Input!$AG$2:$AG$170,0)),""))</f>
        <v/>
      </c>
      <c r="B21" s="10" t="str">
        <f>IFERROR(INDEX(DQAF_Input!$E$2:$E$170,MATCH(20,DQAF_Input!$AG$2:$AG$170,0)),"")</f>
        <v/>
      </c>
      <c r="C21" s="4" t="str">
        <f>IF($B21="","",IF(IFERROR(VLOOKUP($B21,__rbp_p!$A:$B,2,FALSE),"")&lt;&gt;"",IFERROR(VLOOKUP($B21,__rbp_p!$A:$B,2,FALSE),""),IFERROR(INDEX(DQAF_Input!$F$2:$F$170,MATCH(20,DQAF_Input!$AG$2:$AG$170,0)),"")))</f>
        <v/>
      </c>
      <c r="D21" s="4" t="str">
        <f>IF($B21="","",IFERROR(INDEX(DQAF_Input!$H$2:$H$170,MATCH(20,DQAF_Input!$AG$2:$AG$170,0)),""))</f>
        <v/>
      </c>
      <c r="E21" s="4" t="str">
        <f>IF($B21="","",IFERROR(INDEX(DQAF_Input!$J$2:$J$170,MATCH(20,DQAF_Input!$AG$2:$AG$170,0)),""))</f>
        <v/>
      </c>
      <c r="F21" s="4" t="str">
        <f>IF($B21="","",IFERROR(INDEX(DQAF_Input!$L$2:$L$170,MATCH(20,DQAF_Input!$AG$2:$AG$170,0)),""))</f>
        <v/>
      </c>
    </row>
    <row r="22" spans="1:6" x14ac:dyDescent="0.25">
      <c r="A22" s="10" t="str">
        <f>IF($B22="","",IFERROR(INDEX(DQAF_Input!$P$2:$P$170,MATCH(21,DQAF_Input!$AG$2:$AG$170,0)),""))</f>
        <v/>
      </c>
      <c r="B22" s="10" t="str">
        <f>IFERROR(INDEX(DQAF_Input!$E$2:$E$170,MATCH(21,DQAF_Input!$AG$2:$AG$170,0)),"")</f>
        <v/>
      </c>
      <c r="C22" s="4" t="str">
        <f>IF($B22="","",IF(IFERROR(VLOOKUP($B22,__rbp_p!$A:$B,2,FALSE),"")&lt;&gt;"",IFERROR(VLOOKUP($B22,__rbp_p!$A:$B,2,FALSE),""),IFERROR(INDEX(DQAF_Input!$F$2:$F$170,MATCH(21,DQAF_Input!$AG$2:$AG$170,0)),"")))</f>
        <v/>
      </c>
      <c r="D22" s="4" t="str">
        <f>IF($B22="","",IFERROR(INDEX(DQAF_Input!$H$2:$H$170,MATCH(21,DQAF_Input!$AG$2:$AG$170,0)),""))</f>
        <v/>
      </c>
      <c r="E22" s="4" t="str">
        <f>IF($B22="","",IFERROR(INDEX(DQAF_Input!$J$2:$J$170,MATCH(21,DQAF_Input!$AG$2:$AG$170,0)),""))</f>
        <v/>
      </c>
      <c r="F22" s="4" t="str">
        <f>IF($B22="","",IFERROR(INDEX(DQAF_Input!$L$2:$L$170,MATCH(21,DQAF_Input!$AG$2:$AG$170,0)),""))</f>
        <v/>
      </c>
    </row>
    <row r="23" spans="1:6" x14ac:dyDescent="0.25">
      <c r="A23" s="10" t="str">
        <f>IF($B23="","",IFERROR(INDEX(DQAF_Input!$P$2:$P$170,MATCH(22,DQAF_Input!$AG$2:$AG$170,0)),""))</f>
        <v/>
      </c>
      <c r="B23" s="10" t="str">
        <f>IFERROR(INDEX(DQAF_Input!$E$2:$E$170,MATCH(22,DQAF_Input!$AG$2:$AG$170,0)),"")</f>
        <v/>
      </c>
      <c r="C23" s="4" t="str">
        <f>IF($B23="","",IF(IFERROR(VLOOKUP($B23,__rbp_p!$A:$B,2,FALSE),"")&lt;&gt;"",IFERROR(VLOOKUP($B23,__rbp_p!$A:$B,2,FALSE),""),IFERROR(INDEX(DQAF_Input!$F$2:$F$170,MATCH(22,DQAF_Input!$AG$2:$AG$170,0)),"")))</f>
        <v/>
      </c>
      <c r="D23" s="4" t="str">
        <f>IF($B23="","",IFERROR(INDEX(DQAF_Input!$H$2:$H$170,MATCH(22,DQAF_Input!$AG$2:$AG$170,0)),""))</f>
        <v/>
      </c>
      <c r="E23" s="4" t="str">
        <f>IF($B23="","",IFERROR(INDEX(DQAF_Input!$J$2:$J$170,MATCH(22,DQAF_Input!$AG$2:$AG$170,0)),""))</f>
        <v/>
      </c>
      <c r="F23" s="4" t="str">
        <f>IF($B23="","",IFERROR(INDEX(DQAF_Input!$L$2:$L$170,MATCH(22,DQAF_Input!$AG$2:$AG$170,0)),""))</f>
        <v/>
      </c>
    </row>
    <row r="24" spans="1:6" x14ac:dyDescent="0.25">
      <c r="A24" s="10" t="str">
        <f>IF($B24="","",IFERROR(INDEX(DQAF_Input!$P$2:$P$170,MATCH(23,DQAF_Input!$AG$2:$AG$170,0)),""))</f>
        <v/>
      </c>
      <c r="B24" s="10" t="str">
        <f>IFERROR(INDEX(DQAF_Input!$E$2:$E$170,MATCH(23,DQAF_Input!$AG$2:$AG$170,0)),"")</f>
        <v/>
      </c>
      <c r="C24" s="4" t="str">
        <f>IF($B24="","",IF(IFERROR(VLOOKUP($B24,__rbp_p!$A:$B,2,FALSE),"")&lt;&gt;"",IFERROR(VLOOKUP($B24,__rbp_p!$A:$B,2,FALSE),""),IFERROR(INDEX(DQAF_Input!$F$2:$F$170,MATCH(23,DQAF_Input!$AG$2:$AG$170,0)),"")))</f>
        <v/>
      </c>
      <c r="D24" s="4" t="str">
        <f>IF($B24="","",IFERROR(INDEX(DQAF_Input!$H$2:$H$170,MATCH(23,DQAF_Input!$AG$2:$AG$170,0)),""))</f>
        <v/>
      </c>
      <c r="E24" s="4" t="str">
        <f>IF($B24="","",IFERROR(INDEX(DQAF_Input!$J$2:$J$170,MATCH(23,DQAF_Input!$AG$2:$AG$170,0)),""))</f>
        <v/>
      </c>
      <c r="F24" s="4" t="str">
        <f>IF($B24="","",IFERROR(INDEX(DQAF_Input!$L$2:$L$170,MATCH(23,DQAF_Input!$AG$2:$AG$170,0)),""))</f>
        <v/>
      </c>
    </row>
    <row r="25" spans="1:6" x14ac:dyDescent="0.25">
      <c r="A25" s="10" t="str">
        <f>IF($B25="","",IFERROR(INDEX(DQAF_Input!$P$2:$P$170,MATCH(24,DQAF_Input!$AG$2:$AG$170,0)),""))</f>
        <v/>
      </c>
      <c r="B25" s="10" t="str">
        <f>IFERROR(INDEX(DQAF_Input!$E$2:$E$170,MATCH(24,DQAF_Input!$AG$2:$AG$170,0)),"")</f>
        <v/>
      </c>
      <c r="C25" s="4" t="str">
        <f>IF($B25="","",IF(IFERROR(VLOOKUP($B25,__rbp_p!$A:$B,2,FALSE),"")&lt;&gt;"",IFERROR(VLOOKUP($B25,__rbp_p!$A:$B,2,FALSE),""),IFERROR(INDEX(DQAF_Input!$F$2:$F$170,MATCH(24,DQAF_Input!$AG$2:$AG$170,0)),"")))</f>
        <v/>
      </c>
      <c r="D25" s="4" t="str">
        <f>IF($B25="","",IFERROR(INDEX(DQAF_Input!$H$2:$H$170,MATCH(24,DQAF_Input!$AG$2:$AG$170,0)),""))</f>
        <v/>
      </c>
      <c r="E25" s="4" t="str">
        <f>IF($B25="","",IFERROR(INDEX(DQAF_Input!$J$2:$J$170,MATCH(24,DQAF_Input!$AG$2:$AG$170,0)),""))</f>
        <v/>
      </c>
      <c r="F25" s="4" t="str">
        <f>IF($B25="","",IFERROR(INDEX(DQAF_Input!$L$2:$L$170,MATCH(24,DQAF_Input!$AG$2:$AG$170,0)),""))</f>
        <v/>
      </c>
    </row>
    <row r="26" spans="1:6" x14ac:dyDescent="0.25">
      <c r="A26" s="10" t="str">
        <f>IF($B26="","",IFERROR(INDEX(DQAF_Input!$P$2:$P$170,MATCH(25,DQAF_Input!$AG$2:$AG$170,0)),""))</f>
        <v/>
      </c>
      <c r="B26" s="10" t="str">
        <f>IFERROR(INDEX(DQAF_Input!$E$2:$E$170,MATCH(25,DQAF_Input!$AG$2:$AG$170,0)),"")</f>
        <v/>
      </c>
      <c r="C26" s="4" t="str">
        <f>IF($B26="","",IF(IFERROR(VLOOKUP($B26,__rbp_p!$A:$B,2,FALSE),"")&lt;&gt;"",IFERROR(VLOOKUP($B26,__rbp_p!$A:$B,2,FALSE),""),IFERROR(INDEX(DQAF_Input!$F$2:$F$170,MATCH(25,DQAF_Input!$AG$2:$AG$170,0)),"")))</f>
        <v/>
      </c>
      <c r="D26" s="4" t="str">
        <f>IF($B26="","",IFERROR(INDEX(DQAF_Input!$H$2:$H$170,MATCH(25,DQAF_Input!$AG$2:$AG$170,0)),""))</f>
        <v/>
      </c>
      <c r="E26" s="4" t="str">
        <f>IF($B26="","",IFERROR(INDEX(DQAF_Input!$J$2:$J$170,MATCH(25,DQAF_Input!$AG$2:$AG$170,0)),""))</f>
        <v/>
      </c>
      <c r="F26" s="4" t="str">
        <f>IF($B26="","",IFERROR(INDEX(DQAF_Input!$L$2:$L$170,MATCH(25,DQAF_Input!$AG$2:$AG$170,0)),""))</f>
        <v/>
      </c>
    </row>
    <row r="27" spans="1:6" x14ac:dyDescent="0.25">
      <c r="A27" s="10" t="str">
        <f>IF($B27="","",IFERROR(INDEX(DQAF_Input!$P$2:$P$170,MATCH(26,DQAF_Input!$AG$2:$AG$170,0)),""))</f>
        <v/>
      </c>
      <c r="B27" s="10" t="str">
        <f>IFERROR(INDEX(DQAF_Input!$E$2:$E$170,MATCH(26,DQAF_Input!$AG$2:$AG$170,0)),"")</f>
        <v/>
      </c>
      <c r="C27" s="4" t="str">
        <f>IF($B27="","",IF(IFERROR(VLOOKUP($B27,__rbp_p!$A:$B,2,FALSE),"")&lt;&gt;"",IFERROR(VLOOKUP($B27,__rbp_p!$A:$B,2,FALSE),""),IFERROR(INDEX(DQAF_Input!$F$2:$F$170,MATCH(26,DQAF_Input!$AG$2:$AG$170,0)),"")))</f>
        <v/>
      </c>
      <c r="D27" s="4" t="str">
        <f>IF($B27="","",IFERROR(INDEX(DQAF_Input!$H$2:$H$170,MATCH(26,DQAF_Input!$AG$2:$AG$170,0)),""))</f>
        <v/>
      </c>
      <c r="E27" s="4" t="str">
        <f>IF($B27="","",IFERROR(INDEX(DQAF_Input!$J$2:$J$170,MATCH(26,DQAF_Input!$AG$2:$AG$170,0)),""))</f>
        <v/>
      </c>
      <c r="F27" s="4" t="str">
        <f>IF($B27="","",IFERROR(INDEX(DQAF_Input!$L$2:$L$170,MATCH(26,DQAF_Input!$AG$2:$AG$170,0)),""))</f>
        <v/>
      </c>
    </row>
    <row r="28" spans="1:6" x14ac:dyDescent="0.25">
      <c r="A28" s="10" t="str">
        <f>IF($B28="","",IFERROR(INDEX(DQAF_Input!$P$2:$P$170,MATCH(27,DQAF_Input!$AG$2:$AG$170,0)),""))</f>
        <v/>
      </c>
      <c r="B28" s="10" t="str">
        <f>IFERROR(INDEX(DQAF_Input!$E$2:$E$170,MATCH(27,DQAF_Input!$AG$2:$AG$170,0)),"")</f>
        <v/>
      </c>
      <c r="C28" s="4" t="str">
        <f>IF($B28="","",IF(IFERROR(VLOOKUP($B28,__rbp_p!$A:$B,2,FALSE),"")&lt;&gt;"",IFERROR(VLOOKUP($B28,__rbp_p!$A:$B,2,FALSE),""),IFERROR(INDEX(DQAF_Input!$F$2:$F$170,MATCH(27,DQAF_Input!$AG$2:$AG$170,0)),"")))</f>
        <v/>
      </c>
      <c r="D28" s="4" t="str">
        <f>IF($B28="","",IFERROR(INDEX(DQAF_Input!$H$2:$H$170,MATCH(27,DQAF_Input!$AG$2:$AG$170,0)),""))</f>
        <v/>
      </c>
      <c r="E28" s="4" t="str">
        <f>IF($B28="","",IFERROR(INDEX(DQAF_Input!$J$2:$J$170,MATCH(27,DQAF_Input!$AG$2:$AG$170,0)),""))</f>
        <v/>
      </c>
      <c r="F28" s="4" t="str">
        <f>IF($B28="","",IFERROR(INDEX(DQAF_Input!$L$2:$L$170,MATCH(27,DQAF_Input!$AG$2:$AG$170,0)),""))</f>
        <v/>
      </c>
    </row>
    <row r="29" spans="1:6" x14ac:dyDescent="0.25">
      <c r="A29" s="10" t="str">
        <f>IF($B29="","",IFERROR(INDEX(DQAF_Input!$P$2:$P$170,MATCH(28,DQAF_Input!$AG$2:$AG$170,0)),""))</f>
        <v/>
      </c>
      <c r="B29" s="10" t="str">
        <f>IFERROR(INDEX(DQAF_Input!$E$2:$E$170,MATCH(28,DQAF_Input!$AG$2:$AG$170,0)),"")</f>
        <v/>
      </c>
      <c r="C29" s="4" t="str">
        <f>IF($B29="","",IF(IFERROR(VLOOKUP($B29,__rbp_p!$A:$B,2,FALSE),"")&lt;&gt;"",IFERROR(VLOOKUP($B29,__rbp_p!$A:$B,2,FALSE),""),IFERROR(INDEX(DQAF_Input!$F$2:$F$170,MATCH(28,DQAF_Input!$AG$2:$AG$170,0)),"")))</f>
        <v/>
      </c>
      <c r="D29" s="4" t="str">
        <f>IF($B29="","",IFERROR(INDEX(DQAF_Input!$H$2:$H$170,MATCH(28,DQAF_Input!$AG$2:$AG$170,0)),""))</f>
        <v/>
      </c>
      <c r="E29" s="4" t="str">
        <f>IF($B29="","",IFERROR(INDEX(DQAF_Input!$J$2:$J$170,MATCH(28,DQAF_Input!$AG$2:$AG$170,0)),""))</f>
        <v/>
      </c>
      <c r="F29" s="4" t="str">
        <f>IF($B29="","",IFERROR(INDEX(DQAF_Input!$L$2:$L$170,MATCH(28,DQAF_Input!$AG$2:$AG$170,0)),""))</f>
        <v/>
      </c>
    </row>
    <row r="30" spans="1:6" x14ac:dyDescent="0.25">
      <c r="A30" s="10" t="str">
        <f>IF($B30="","",IFERROR(INDEX(DQAF_Input!$P$2:$P$170,MATCH(29,DQAF_Input!$AG$2:$AG$170,0)),""))</f>
        <v/>
      </c>
      <c r="B30" s="10" t="str">
        <f>IFERROR(INDEX(DQAF_Input!$E$2:$E$170,MATCH(29,DQAF_Input!$AG$2:$AG$170,0)),"")</f>
        <v/>
      </c>
      <c r="C30" s="4" t="str">
        <f>IF($B30="","",IF(IFERROR(VLOOKUP($B30,__rbp_p!$A:$B,2,FALSE),"")&lt;&gt;"",IFERROR(VLOOKUP($B30,__rbp_p!$A:$B,2,FALSE),""),IFERROR(INDEX(DQAF_Input!$F$2:$F$170,MATCH(29,DQAF_Input!$AG$2:$AG$170,0)),"")))</f>
        <v/>
      </c>
      <c r="D30" s="4" t="str">
        <f>IF($B30="","",IFERROR(INDEX(DQAF_Input!$H$2:$H$170,MATCH(29,DQAF_Input!$AG$2:$AG$170,0)),""))</f>
        <v/>
      </c>
      <c r="E30" s="4" t="str">
        <f>IF($B30="","",IFERROR(INDEX(DQAF_Input!$J$2:$J$170,MATCH(29,DQAF_Input!$AG$2:$AG$170,0)),""))</f>
        <v/>
      </c>
      <c r="F30" s="4" t="str">
        <f>IF($B30="","",IFERROR(INDEX(DQAF_Input!$L$2:$L$170,MATCH(29,DQAF_Input!$AG$2:$AG$170,0)),""))</f>
        <v/>
      </c>
    </row>
    <row r="31" spans="1:6" x14ac:dyDescent="0.25">
      <c r="A31" s="10" t="str">
        <f>IF($B31="","",IFERROR(INDEX(DQAF_Input!$P$2:$P$170,MATCH(30,DQAF_Input!$AG$2:$AG$170,0)),""))</f>
        <v/>
      </c>
      <c r="B31" s="10" t="str">
        <f>IFERROR(INDEX(DQAF_Input!$E$2:$E$170,MATCH(30,DQAF_Input!$AG$2:$AG$170,0)),"")</f>
        <v/>
      </c>
      <c r="C31" s="4" t="str">
        <f>IF($B31="","",IF(IFERROR(VLOOKUP($B31,__rbp_p!$A:$B,2,FALSE),"")&lt;&gt;"",IFERROR(VLOOKUP($B31,__rbp_p!$A:$B,2,FALSE),""),IFERROR(INDEX(DQAF_Input!$F$2:$F$170,MATCH(30,DQAF_Input!$AG$2:$AG$170,0)),"")))</f>
        <v/>
      </c>
      <c r="D31" s="4" t="str">
        <f>IF($B31="","",IFERROR(INDEX(DQAF_Input!$H$2:$H$170,MATCH(30,DQAF_Input!$AG$2:$AG$170,0)),""))</f>
        <v/>
      </c>
      <c r="E31" s="4" t="str">
        <f>IF($B31="","",IFERROR(INDEX(DQAF_Input!$J$2:$J$170,MATCH(30,DQAF_Input!$AG$2:$AG$170,0)),""))</f>
        <v/>
      </c>
      <c r="F31" s="4" t="str">
        <f>IF($B31="","",IFERROR(INDEX(DQAF_Input!$L$2:$L$170,MATCH(30,DQAF_Input!$AG$2:$AG$170,0)),""))</f>
        <v/>
      </c>
    </row>
    <row r="32" spans="1:6" x14ac:dyDescent="0.25">
      <c r="A32" s="10" t="str">
        <f>IF($B32="","",IFERROR(INDEX(DQAF_Input!$P$2:$P$170,MATCH(31,DQAF_Input!$AG$2:$AG$170,0)),""))</f>
        <v/>
      </c>
      <c r="B32" s="10" t="str">
        <f>IFERROR(INDEX(DQAF_Input!$E$2:$E$170,MATCH(31,DQAF_Input!$AG$2:$AG$170,0)),"")</f>
        <v/>
      </c>
      <c r="C32" s="4" t="str">
        <f>IF($B32="","",IF(IFERROR(VLOOKUP($B32,__rbp_p!$A:$B,2,FALSE),"")&lt;&gt;"",IFERROR(VLOOKUP($B32,__rbp_p!$A:$B,2,FALSE),""),IFERROR(INDEX(DQAF_Input!$F$2:$F$170,MATCH(31,DQAF_Input!$AG$2:$AG$170,0)),"")))</f>
        <v/>
      </c>
      <c r="D32" s="4" t="str">
        <f>IF($B32="","",IFERROR(INDEX(DQAF_Input!$H$2:$H$170,MATCH(31,DQAF_Input!$AG$2:$AG$170,0)),""))</f>
        <v/>
      </c>
      <c r="E32" s="4" t="str">
        <f>IF($B32="","",IFERROR(INDEX(DQAF_Input!$J$2:$J$170,MATCH(31,DQAF_Input!$AG$2:$AG$170,0)),""))</f>
        <v/>
      </c>
      <c r="F32" s="4" t="str">
        <f>IF($B32="","",IFERROR(INDEX(DQAF_Input!$L$2:$L$170,MATCH(31,DQAF_Input!$AG$2:$AG$170,0)),""))</f>
        <v/>
      </c>
    </row>
    <row r="33" spans="1:6" x14ac:dyDescent="0.25">
      <c r="A33" s="10" t="str">
        <f>IF($B33="","",IFERROR(INDEX(DQAF_Input!$P$2:$P$170,MATCH(32,DQAF_Input!$AG$2:$AG$170,0)),""))</f>
        <v/>
      </c>
      <c r="B33" s="10" t="str">
        <f>IFERROR(INDEX(DQAF_Input!$E$2:$E$170,MATCH(32,DQAF_Input!$AG$2:$AG$170,0)),"")</f>
        <v/>
      </c>
      <c r="C33" s="4" t="str">
        <f>IF($B33="","",IF(IFERROR(VLOOKUP($B33,__rbp_p!$A:$B,2,FALSE),"")&lt;&gt;"",IFERROR(VLOOKUP($B33,__rbp_p!$A:$B,2,FALSE),""),IFERROR(INDEX(DQAF_Input!$F$2:$F$170,MATCH(32,DQAF_Input!$AG$2:$AG$170,0)),"")))</f>
        <v/>
      </c>
      <c r="D33" s="4" t="str">
        <f>IF($B33="","",IFERROR(INDEX(DQAF_Input!$H$2:$H$170,MATCH(32,DQAF_Input!$AG$2:$AG$170,0)),""))</f>
        <v/>
      </c>
      <c r="E33" s="4" t="str">
        <f>IF($B33="","",IFERROR(INDEX(DQAF_Input!$J$2:$J$170,MATCH(32,DQAF_Input!$AG$2:$AG$170,0)),""))</f>
        <v/>
      </c>
      <c r="F33" s="4" t="str">
        <f>IF($B33="","",IFERROR(INDEX(DQAF_Input!$L$2:$L$170,MATCH(32,DQAF_Input!$AG$2:$AG$170,0)),""))</f>
        <v/>
      </c>
    </row>
    <row r="34" spans="1:6" x14ac:dyDescent="0.25">
      <c r="A34" s="10" t="str">
        <f>IF($B34="","",IFERROR(INDEX(DQAF_Input!$P$2:$P$170,MATCH(33,DQAF_Input!$AG$2:$AG$170,0)),""))</f>
        <v/>
      </c>
      <c r="B34" s="10" t="str">
        <f>IFERROR(INDEX(DQAF_Input!$E$2:$E$170,MATCH(33,DQAF_Input!$AG$2:$AG$170,0)),"")</f>
        <v/>
      </c>
      <c r="C34" s="4" t="str">
        <f>IF($B34="","",IF(IFERROR(VLOOKUP($B34,__rbp_p!$A:$B,2,FALSE),"")&lt;&gt;"",IFERROR(VLOOKUP($B34,__rbp_p!$A:$B,2,FALSE),""),IFERROR(INDEX(DQAF_Input!$F$2:$F$170,MATCH(33,DQAF_Input!$AG$2:$AG$170,0)),"")))</f>
        <v/>
      </c>
      <c r="D34" s="4" t="str">
        <f>IF($B34="","",IFERROR(INDEX(DQAF_Input!$H$2:$H$170,MATCH(33,DQAF_Input!$AG$2:$AG$170,0)),""))</f>
        <v/>
      </c>
      <c r="E34" s="4" t="str">
        <f>IF($B34="","",IFERROR(INDEX(DQAF_Input!$J$2:$J$170,MATCH(33,DQAF_Input!$AG$2:$AG$170,0)),""))</f>
        <v/>
      </c>
      <c r="F34" s="4" t="str">
        <f>IF($B34="","",IFERROR(INDEX(DQAF_Input!$L$2:$L$170,MATCH(33,DQAF_Input!$AG$2:$AG$170,0)),""))</f>
        <v/>
      </c>
    </row>
    <row r="35" spans="1:6" x14ac:dyDescent="0.25">
      <c r="A35" s="10" t="str">
        <f>IF($B35="","",IFERROR(INDEX(DQAF_Input!$P$2:$P$170,MATCH(34,DQAF_Input!$AG$2:$AG$170,0)),""))</f>
        <v/>
      </c>
      <c r="B35" s="10" t="str">
        <f>IFERROR(INDEX(DQAF_Input!$E$2:$E$170,MATCH(34,DQAF_Input!$AG$2:$AG$170,0)),"")</f>
        <v/>
      </c>
      <c r="C35" s="4" t="str">
        <f>IF($B35="","",IF(IFERROR(VLOOKUP($B35,__rbp_p!$A:$B,2,FALSE),"")&lt;&gt;"",IFERROR(VLOOKUP($B35,__rbp_p!$A:$B,2,FALSE),""),IFERROR(INDEX(DQAF_Input!$F$2:$F$170,MATCH(34,DQAF_Input!$AG$2:$AG$170,0)),"")))</f>
        <v/>
      </c>
      <c r="D35" s="4" t="str">
        <f>IF($B35="","",IFERROR(INDEX(DQAF_Input!$H$2:$H$170,MATCH(34,DQAF_Input!$AG$2:$AG$170,0)),""))</f>
        <v/>
      </c>
      <c r="E35" s="4" t="str">
        <f>IF($B35="","",IFERROR(INDEX(DQAF_Input!$J$2:$J$170,MATCH(34,DQAF_Input!$AG$2:$AG$170,0)),""))</f>
        <v/>
      </c>
      <c r="F35" s="4" t="str">
        <f>IF($B35="","",IFERROR(INDEX(DQAF_Input!$L$2:$L$170,MATCH(34,DQAF_Input!$AG$2:$AG$170,0)),""))</f>
        <v/>
      </c>
    </row>
    <row r="36" spans="1:6" x14ac:dyDescent="0.25">
      <c r="A36" s="10" t="str">
        <f>IF($B36="","",IFERROR(INDEX(DQAF_Input!$P$2:$P$170,MATCH(35,DQAF_Input!$AG$2:$AG$170,0)),""))</f>
        <v/>
      </c>
      <c r="B36" s="10" t="str">
        <f>IFERROR(INDEX(DQAF_Input!$E$2:$E$170,MATCH(35,DQAF_Input!$AG$2:$AG$170,0)),"")</f>
        <v/>
      </c>
      <c r="C36" s="4" t="str">
        <f>IF($B36="","",IF(IFERROR(VLOOKUP($B36,__rbp_p!$A:$B,2,FALSE),"")&lt;&gt;"",IFERROR(VLOOKUP($B36,__rbp_p!$A:$B,2,FALSE),""),IFERROR(INDEX(DQAF_Input!$F$2:$F$170,MATCH(35,DQAF_Input!$AG$2:$AG$170,0)),"")))</f>
        <v/>
      </c>
      <c r="D36" s="4" t="str">
        <f>IF($B36="","",IFERROR(INDEX(DQAF_Input!$H$2:$H$170,MATCH(35,DQAF_Input!$AG$2:$AG$170,0)),""))</f>
        <v/>
      </c>
      <c r="E36" s="4" t="str">
        <f>IF($B36="","",IFERROR(INDEX(DQAF_Input!$J$2:$J$170,MATCH(35,DQAF_Input!$AG$2:$AG$170,0)),""))</f>
        <v/>
      </c>
      <c r="F36" s="4" t="str">
        <f>IF($B36="","",IFERROR(INDEX(DQAF_Input!$L$2:$L$170,MATCH(35,DQAF_Input!$AG$2:$AG$170,0)),""))</f>
        <v/>
      </c>
    </row>
    <row r="37" spans="1:6" x14ac:dyDescent="0.25">
      <c r="A37" s="10" t="str">
        <f>IF($B37="","",IFERROR(INDEX(DQAF_Input!$P$2:$P$170,MATCH(36,DQAF_Input!$AG$2:$AG$170,0)),""))</f>
        <v/>
      </c>
      <c r="B37" s="10" t="str">
        <f>IFERROR(INDEX(DQAF_Input!$E$2:$E$170,MATCH(36,DQAF_Input!$AG$2:$AG$170,0)),"")</f>
        <v/>
      </c>
      <c r="C37" s="4" t="str">
        <f>IF($B37="","",IF(IFERROR(VLOOKUP($B37,__rbp_p!$A:$B,2,FALSE),"")&lt;&gt;"",IFERROR(VLOOKUP($B37,__rbp_p!$A:$B,2,FALSE),""),IFERROR(INDEX(DQAF_Input!$F$2:$F$170,MATCH(36,DQAF_Input!$AG$2:$AG$170,0)),"")))</f>
        <v/>
      </c>
      <c r="D37" s="4" t="str">
        <f>IF($B37="","",IFERROR(INDEX(DQAF_Input!$H$2:$H$170,MATCH(36,DQAF_Input!$AG$2:$AG$170,0)),""))</f>
        <v/>
      </c>
      <c r="E37" s="4" t="str">
        <f>IF($B37="","",IFERROR(INDEX(DQAF_Input!$J$2:$J$170,MATCH(36,DQAF_Input!$AG$2:$AG$170,0)),""))</f>
        <v/>
      </c>
      <c r="F37" s="4" t="str">
        <f>IF($B37="","",IFERROR(INDEX(DQAF_Input!$L$2:$L$170,MATCH(36,DQAF_Input!$AG$2:$AG$170,0)),""))</f>
        <v/>
      </c>
    </row>
    <row r="38" spans="1:6" x14ac:dyDescent="0.25">
      <c r="A38" s="10" t="str">
        <f>IF($B38="","",IFERROR(INDEX(DQAF_Input!$P$2:$P$170,MATCH(37,DQAF_Input!$AG$2:$AG$170,0)),""))</f>
        <v/>
      </c>
      <c r="B38" s="10" t="str">
        <f>IFERROR(INDEX(DQAF_Input!$E$2:$E$170,MATCH(37,DQAF_Input!$AG$2:$AG$170,0)),"")</f>
        <v/>
      </c>
      <c r="C38" s="4" t="str">
        <f>IF($B38="","",IF(IFERROR(VLOOKUP($B38,__rbp_p!$A:$B,2,FALSE),"")&lt;&gt;"",IFERROR(VLOOKUP($B38,__rbp_p!$A:$B,2,FALSE),""),IFERROR(INDEX(DQAF_Input!$F$2:$F$170,MATCH(37,DQAF_Input!$AG$2:$AG$170,0)),"")))</f>
        <v/>
      </c>
      <c r="D38" s="4" t="str">
        <f>IF($B38="","",IFERROR(INDEX(DQAF_Input!$H$2:$H$170,MATCH(37,DQAF_Input!$AG$2:$AG$170,0)),""))</f>
        <v/>
      </c>
      <c r="E38" s="4" t="str">
        <f>IF($B38="","",IFERROR(INDEX(DQAF_Input!$J$2:$J$170,MATCH(37,DQAF_Input!$AG$2:$AG$170,0)),""))</f>
        <v/>
      </c>
      <c r="F38" s="4" t="str">
        <f>IF($B38="","",IFERROR(INDEX(DQAF_Input!$L$2:$L$170,MATCH(37,DQAF_Input!$AG$2:$AG$170,0)),""))</f>
        <v/>
      </c>
    </row>
    <row r="39" spans="1:6" x14ac:dyDescent="0.25">
      <c r="A39" s="10" t="str">
        <f>IF($B39="","",IFERROR(INDEX(DQAF_Input!$P$2:$P$170,MATCH(38,DQAF_Input!$AG$2:$AG$170,0)),""))</f>
        <v/>
      </c>
      <c r="B39" s="10" t="str">
        <f>IFERROR(INDEX(DQAF_Input!$E$2:$E$170,MATCH(38,DQAF_Input!$AG$2:$AG$170,0)),"")</f>
        <v/>
      </c>
      <c r="C39" s="4" t="str">
        <f>IF($B39="","",IF(IFERROR(VLOOKUP($B39,__rbp_p!$A:$B,2,FALSE),"")&lt;&gt;"",IFERROR(VLOOKUP($B39,__rbp_p!$A:$B,2,FALSE),""),IFERROR(INDEX(DQAF_Input!$F$2:$F$170,MATCH(38,DQAF_Input!$AG$2:$AG$170,0)),"")))</f>
        <v/>
      </c>
      <c r="D39" s="4" t="str">
        <f>IF($B39="","",IFERROR(INDEX(DQAF_Input!$H$2:$H$170,MATCH(38,DQAF_Input!$AG$2:$AG$170,0)),""))</f>
        <v/>
      </c>
      <c r="E39" s="4" t="str">
        <f>IF($B39="","",IFERROR(INDEX(DQAF_Input!$J$2:$J$170,MATCH(38,DQAF_Input!$AG$2:$AG$170,0)),""))</f>
        <v/>
      </c>
      <c r="F39" s="4" t="str">
        <f>IF($B39="","",IFERROR(INDEX(DQAF_Input!$L$2:$L$170,MATCH(38,DQAF_Input!$AG$2:$AG$170,0)),""))</f>
        <v/>
      </c>
    </row>
    <row r="40" spans="1:6" x14ac:dyDescent="0.25">
      <c r="A40" s="10" t="str">
        <f>IF($B40="","",IFERROR(INDEX(DQAF_Input!$P$2:$P$170,MATCH(39,DQAF_Input!$AG$2:$AG$170,0)),""))</f>
        <v/>
      </c>
      <c r="B40" s="10" t="str">
        <f>IFERROR(INDEX(DQAF_Input!$E$2:$E$170,MATCH(39,DQAF_Input!$AG$2:$AG$170,0)),"")</f>
        <v/>
      </c>
      <c r="C40" s="4" t="str">
        <f>IF($B40="","",IF(IFERROR(VLOOKUP($B40,__rbp_p!$A:$B,2,FALSE),"")&lt;&gt;"",IFERROR(VLOOKUP($B40,__rbp_p!$A:$B,2,FALSE),""),IFERROR(INDEX(DQAF_Input!$F$2:$F$170,MATCH(39,DQAF_Input!$AG$2:$AG$170,0)),"")))</f>
        <v/>
      </c>
      <c r="D40" s="4" t="str">
        <f>IF($B40="","",IFERROR(INDEX(DQAF_Input!$H$2:$H$170,MATCH(39,DQAF_Input!$AG$2:$AG$170,0)),""))</f>
        <v/>
      </c>
      <c r="E40" s="4" t="str">
        <f>IF($B40="","",IFERROR(INDEX(DQAF_Input!$J$2:$J$170,MATCH(39,DQAF_Input!$AG$2:$AG$170,0)),""))</f>
        <v/>
      </c>
      <c r="F40" s="4" t="str">
        <f>IF($B40="","",IFERROR(INDEX(DQAF_Input!$L$2:$L$170,MATCH(39,DQAF_Input!$AG$2:$AG$170,0)),""))</f>
        <v/>
      </c>
    </row>
    <row r="41" spans="1:6" x14ac:dyDescent="0.25">
      <c r="A41" s="10" t="str">
        <f>IF($B41="","",IFERROR(INDEX(DQAF_Input!$P$2:$P$170,MATCH(40,DQAF_Input!$AG$2:$AG$170,0)),""))</f>
        <v/>
      </c>
      <c r="B41" s="10" t="str">
        <f>IFERROR(INDEX(DQAF_Input!$E$2:$E$170,MATCH(40,DQAF_Input!$AG$2:$AG$170,0)),"")</f>
        <v/>
      </c>
      <c r="C41" s="4" t="str">
        <f>IF($B41="","",IF(IFERROR(VLOOKUP($B41,__rbp_p!$A:$B,2,FALSE),"")&lt;&gt;"",IFERROR(VLOOKUP($B41,__rbp_p!$A:$B,2,FALSE),""),IFERROR(INDEX(DQAF_Input!$F$2:$F$170,MATCH(40,DQAF_Input!$AG$2:$AG$170,0)),"")))</f>
        <v/>
      </c>
      <c r="D41" s="4" t="str">
        <f>IF($B41="","",IFERROR(INDEX(DQAF_Input!$H$2:$H$170,MATCH(40,DQAF_Input!$AG$2:$AG$170,0)),""))</f>
        <v/>
      </c>
      <c r="E41" s="4" t="str">
        <f>IF($B41="","",IFERROR(INDEX(DQAF_Input!$J$2:$J$170,MATCH(40,DQAF_Input!$AG$2:$AG$170,0)),""))</f>
        <v/>
      </c>
      <c r="F41" s="4" t="str">
        <f>IF($B41="","",IFERROR(INDEX(DQAF_Input!$L$2:$L$170,MATCH(40,DQAF_Input!$AG$2:$AG$170,0)),""))</f>
        <v/>
      </c>
    </row>
    <row r="42" spans="1:6" x14ac:dyDescent="0.25">
      <c r="A42" s="10" t="str">
        <f>IF($B42="","",IFERROR(INDEX(DQAF_Input!$P$2:$P$170,MATCH(41,DQAF_Input!$AG$2:$AG$170,0)),""))</f>
        <v/>
      </c>
      <c r="B42" s="10" t="str">
        <f>IFERROR(INDEX(DQAF_Input!$E$2:$E$170,MATCH(41,DQAF_Input!$AG$2:$AG$170,0)),"")</f>
        <v/>
      </c>
      <c r="C42" s="4" t="str">
        <f>IF($B42="","",IF(IFERROR(VLOOKUP($B42,__rbp_p!$A:$B,2,FALSE),"")&lt;&gt;"",IFERROR(VLOOKUP($B42,__rbp_p!$A:$B,2,FALSE),""),IFERROR(INDEX(DQAF_Input!$F$2:$F$170,MATCH(41,DQAF_Input!$AG$2:$AG$170,0)),"")))</f>
        <v/>
      </c>
      <c r="D42" s="4" t="str">
        <f>IF($B42="","",IFERROR(INDEX(DQAF_Input!$H$2:$H$170,MATCH(41,DQAF_Input!$AG$2:$AG$170,0)),""))</f>
        <v/>
      </c>
      <c r="E42" s="4" t="str">
        <f>IF($B42="","",IFERROR(INDEX(DQAF_Input!$J$2:$J$170,MATCH(41,DQAF_Input!$AG$2:$AG$170,0)),""))</f>
        <v/>
      </c>
      <c r="F42" s="4" t="str">
        <f>IF($B42="","",IFERROR(INDEX(DQAF_Input!$L$2:$L$170,MATCH(41,DQAF_Input!$AG$2:$AG$170,0)),""))</f>
        <v/>
      </c>
    </row>
    <row r="43" spans="1:6" x14ac:dyDescent="0.25">
      <c r="A43" s="10" t="str">
        <f>IF($B43="","",IFERROR(INDEX(DQAF_Input!$P$2:$P$170,MATCH(42,DQAF_Input!$AG$2:$AG$170,0)),""))</f>
        <v/>
      </c>
      <c r="B43" s="10" t="str">
        <f>IFERROR(INDEX(DQAF_Input!$E$2:$E$170,MATCH(42,DQAF_Input!$AG$2:$AG$170,0)),"")</f>
        <v/>
      </c>
      <c r="C43" s="4" t="str">
        <f>IF($B43="","",IF(IFERROR(VLOOKUP($B43,__rbp_p!$A:$B,2,FALSE),"")&lt;&gt;"",IFERROR(VLOOKUP($B43,__rbp_p!$A:$B,2,FALSE),""),IFERROR(INDEX(DQAF_Input!$F$2:$F$170,MATCH(42,DQAF_Input!$AG$2:$AG$170,0)),"")))</f>
        <v/>
      </c>
      <c r="D43" s="4" t="str">
        <f>IF($B43="","",IFERROR(INDEX(DQAF_Input!$H$2:$H$170,MATCH(42,DQAF_Input!$AG$2:$AG$170,0)),""))</f>
        <v/>
      </c>
      <c r="E43" s="4" t="str">
        <f>IF($B43="","",IFERROR(INDEX(DQAF_Input!$J$2:$J$170,MATCH(42,DQAF_Input!$AG$2:$AG$170,0)),""))</f>
        <v/>
      </c>
      <c r="F43" s="4" t="str">
        <f>IF($B43="","",IFERROR(INDEX(DQAF_Input!$L$2:$L$170,MATCH(42,DQAF_Input!$AG$2:$AG$170,0)),""))</f>
        <v/>
      </c>
    </row>
    <row r="44" spans="1:6" x14ac:dyDescent="0.25">
      <c r="A44" s="10" t="str">
        <f>IF($B44="","",IFERROR(INDEX(DQAF_Input!$P$2:$P$170,MATCH(43,DQAF_Input!$AG$2:$AG$170,0)),""))</f>
        <v/>
      </c>
      <c r="B44" s="10" t="str">
        <f>IFERROR(INDEX(DQAF_Input!$E$2:$E$170,MATCH(43,DQAF_Input!$AG$2:$AG$170,0)),"")</f>
        <v/>
      </c>
      <c r="C44" s="4" t="str">
        <f>IF($B44="","",IF(IFERROR(VLOOKUP($B44,__rbp_p!$A:$B,2,FALSE),"")&lt;&gt;"",IFERROR(VLOOKUP($B44,__rbp_p!$A:$B,2,FALSE),""),IFERROR(INDEX(DQAF_Input!$F$2:$F$170,MATCH(43,DQAF_Input!$AG$2:$AG$170,0)),"")))</f>
        <v/>
      </c>
      <c r="D44" s="4" t="str">
        <f>IF($B44="","",IFERROR(INDEX(DQAF_Input!$H$2:$H$170,MATCH(43,DQAF_Input!$AG$2:$AG$170,0)),""))</f>
        <v/>
      </c>
      <c r="E44" s="4" t="str">
        <f>IF($B44="","",IFERROR(INDEX(DQAF_Input!$J$2:$J$170,MATCH(43,DQAF_Input!$AG$2:$AG$170,0)),""))</f>
        <v/>
      </c>
      <c r="F44" s="4" t="str">
        <f>IF($B44="","",IFERROR(INDEX(DQAF_Input!$L$2:$L$170,MATCH(43,DQAF_Input!$AG$2:$AG$170,0)),""))</f>
        <v/>
      </c>
    </row>
    <row r="45" spans="1:6" x14ac:dyDescent="0.25">
      <c r="A45" s="10" t="str">
        <f>IF($B45="","",IFERROR(INDEX(DQAF_Input!$P$2:$P$170,MATCH(44,DQAF_Input!$AG$2:$AG$170,0)),""))</f>
        <v/>
      </c>
      <c r="B45" s="10" t="str">
        <f>IFERROR(INDEX(DQAF_Input!$E$2:$E$170,MATCH(44,DQAF_Input!$AG$2:$AG$170,0)),"")</f>
        <v/>
      </c>
      <c r="C45" s="4" t="str">
        <f>IF($B45="","",IF(IFERROR(VLOOKUP($B45,__rbp_p!$A:$B,2,FALSE),"")&lt;&gt;"",IFERROR(VLOOKUP($B45,__rbp_p!$A:$B,2,FALSE),""),IFERROR(INDEX(DQAF_Input!$F$2:$F$170,MATCH(44,DQAF_Input!$AG$2:$AG$170,0)),"")))</f>
        <v/>
      </c>
      <c r="D45" s="4" t="str">
        <f>IF($B45="","",IFERROR(INDEX(DQAF_Input!$H$2:$H$170,MATCH(44,DQAF_Input!$AG$2:$AG$170,0)),""))</f>
        <v/>
      </c>
      <c r="E45" s="4" t="str">
        <f>IF($B45="","",IFERROR(INDEX(DQAF_Input!$J$2:$J$170,MATCH(44,DQAF_Input!$AG$2:$AG$170,0)),""))</f>
        <v/>
      </c>
      <c r="F45" s="4" t="str">
        <f>IF($B45="","",IFERROR(INDEX(DQAF_Input!$L$2:$L$170,MATCH(44,DQAF_Input!$AG$2:$AG$170,0)),""))</f>
        <v/>
      </c>
    </row>
    <row r="46" spans="1:6" x14ac:dyDescent="0.25">
      <c r="A46" s="10" t="str">
        <f>IF($B46="","",IFERROR(INDEX(DQAF_Input!$P$2:$P$170,MATCH(45,DQAF_Input!$AG$2:$AG$170,0)),""))</f>
        <v/>
      </c>
      <c r="B46" s="10" t="str">
        <f>IFERROR(INDEX(DQAF_Input!$E$2:$E$170,MATCH(45,DQAF_Input!$AG$2:$AG$170,0)),"")</f>
        <v/>
      </c>
      <c r="C46" s="4" t="str">
        <f>IF($B46="","",IF(IFERROR(VLOOKUP($B46,__rbp_p!$A:$B,2,FALSE),"")&lt;&gt;"",IFERROR(VLOOKUP($B46,__rbp_p!$A:$B,2,FALSE),""),IFERROR(INDEX(DQAF_Input!$F$2:$F$170,MATCH(45,DQAF_Input!$AG$2:$AG$170,0)),"")))</f>
        <v/>
      </c>
      <c r="D46" s="4" t="str">
        <f>IF($B46="","",IFERROR(INDEX(DQAF_Input!$H$2:$H$170,MATCH(45,DQAF_Input!$AG$2:$AG$170,0)),""))</f>
        <v/>
      </c>
      <c r="E46" s="4" t="str">
        <f>IF($B46="","",IFERROR(INDEX(DQAF_Input!$J$2:$J$170,MATCH(45,DQAF_Input!$AG$2:$AG$170,0)),""))</f>
        <v/>
      </c>
      <c r="F46" s="4" t="str">
        <f>IF($B46="","",IFERROR(INDEX(DQAF_Input!$L$2:$L$170,MATCH(45,DQAF_Input!$AG$2:$AG$170,0)),""))</f>
        <v/>
      </c>
    </row>
    <row r="47" spans="1:6" x14ac:dyDescent="0.25">
      <c r="A47" s="10" t="str">
        <f>IF($B47="","",IFERROR(INDEX(DQAF_Input!$P$2:$P$170,MATCH(46,DQAF_Input!$AG$2:$AG$170,0)),""))</f>
        <v/>
      </c>
      <c r="B47" s="10" t="str">
        <f>IFERROR(INDEX(DQAF_Input!$E$2:$E$170,MATCH(46,DQAF_Input!$AG$2:$AG$170,0)),"")</f>
        <v/>
      </c>
      <c r="C47" s="4" t="str">
        <f>IF($B47="","",IF(IFERROR(VLOOKUP($B47,__rbp_p!$A:$B,2,FALSE),"")&lt;&gt;"",IFERROR(VLOOKUP($B47,__rbp_p!$A:$B,2,FALSE),""),IFERROR(INDEX(DQAF_Input!$F$2:$F$170,MATCH(46,DQAF_Input!$AG$2:$AG$170,0)),"")))</f>
        <v/>
      </c>
      <c r="D47" s="4" t="str">
        <f>IF($B47="","",IFERROR(INDEX(DQAF_Input!$H$2:$H$170,MATCH(46,DQAF_Input!$AG$2:$AG$170,0)),""))</f>
        <v/>
      </c>
      <c r="E47" s="4" t="str">
        <f>IF($B47="","",IFERROR(INDEX(DQAF_Input!$J$2:$J$170,MATCH(46,DQAF_Input!$AG$2:$AG$170,0)),""))</f>
        <v/>
      </c>
      <c r="F47" s="4" t="str">
        <f>IF($B47="","",IFERROR(INDEX(DQAF_Input!$L$2:$L$170,MATCH(46,DQAF_Input!$AG$2:$AG$170,0)),""))</f>
        <v/>
      </c>
    </row>
    <row r="48" spans="1:6" x14ac:dyDescent="0.25">
      <c r="A48" s="10" t="str">
        <f>IF($B48="","",IFERROR(INDEX(DQAF_Input!$P$2:$P$170,MATCH(47,DQAF_Input!$AG$2:$AG$170,0)),""))</f>
        <v/>
      </c>
      <c r="B48" s="10" t="str">
        <f>IFERROR(INDEX(DQAF_Input!$E$2:$E$170,MATCH(47,DQAF_Input!$AG$2:$AG$170,0)),"")</f>
        <v/>
      </c>
      <c r="C48" s="4" t="str">
        <f>IF($B48="","",IF(IFERROR(VLOOKUP($B48,__rbp_p!$A:$B,2,FALSE),"")&lt;&gt;"",IFERROR(VLOOKUP($B48,__rbp_p!$A:$B,2,FALSE),""),IFERROR(INDEX(DQAF_Input!$F$2:$F$170,MATCH(47,DQAF_Input!$AG$2:$AG$170,0)),"")))</f>
        <v/>
      </c>
      <c r="D48" s="4" t="str">
        <f>IF($B48="","",IFERROR(INDEX(DQAF_Input!$H$2:$H$170,MATCH(47,DQAF_Input!$AG$2:$AG$170,0)),""))</f>
        <v/>
      </c>
      <c r="E48" s="4" t="str">
        <f>IF($B48="","",IFERROR(INDEX(DQAF_Input!$J$2:$J$170,MATCH(47,DQAF_Input!$AG$2:$AG$170,0)),""))</f>
        <v/>
      </c>
      <c r="F48" s="4" t="str">
        <f>IF($B48="","",IFERROR(INDEX(DQAF_Input!$L$2:$L$170,MATCH(47,DQAF_Input!$AG$2:$AG$170,0)),""))</f>
        <v/>
      </c>
    </row>
    <row r="49" spans="1:6" x14ac:dyDescent="0.25">
      <c r="A49" s="10" t="str">
        <f>IF($B49="","",IFERROR(INDEX(DQAF_Input!$P$2:$P$170,MATCH(48,DQAF_Input!$AG$2:$AG$170,0)),""))</f>
        <v/>
      </c>
      <c r="B49" s="10" t="str">
        <f>IFERROR(INDEX(DQAF_Input!$E$2:$E$170,MATCH(48,DQAF_Input!$AG$2:$AG$170,0)),"")</f>
        <v/>
      </c>
      <c r="C49" s="4" t="str">
        <f>IF($B49="","",IF(IFERROR(VLOOKUP($B49,__rbp_p!$A:$B,2,FALSE),"")&lt;&gt;"",IFERROR(VLOOKUP($B49,__rbp_p!$A:$B,2,FALSE),""),IFERROR(INDEX(DQAF_Input!$F$2:$F$170,MATCH(48,DQAF_Input!$AG$2:$AG$170,0)),"")))</f>
        <v/>
      </c>
      <c r="D49" s="4" t="str">
        <f>IF($B49="","",IFERROR(INDEX(DQAF_Input!$H$2:$H$170,MATCH(48,DQAF_Input!$AG$2:$AG$170,0)),""))</f>
        <v/>
      </c>
      <c r="E49" s="4" t="str">
        <f>IF($B49="","",IFERROR(INDEX(DQAF_Input!$J$2:$J$170,MATCH(48,DQAF_Input!$AG$2:$AG$170,0)),""))</f>
        <v/>
      </c>
      <c r="F49" s="4" t="str">
        <f>IF($B49="","",IFERROR(INDEX(DQAF_Input!$L$2:$L$170,MATCH(48,DQAF_Input!$AG$2:$AG$170,0)),""))</f>
        <v/>
      </c>
    </row>
    <row r="50" spans="1:6" x14ac:dyDescent="0.25">
      <c r="A50" s="10" t="str">
        <f>IF($B50="","",IFERROR(INDEX(DQAF_Input!$P$2:$P$170,MATCH(49,DQAF_Input!$AG$2:$AG$170,0)),""))</f>
        <v/>
      </c>
      <c r="B50" s="10" t="str">
        <f>IFERROR(INDEX(DQAF_Input!$E$2:$E$170,MATCH(49,DQAF_Input!$AG$2:$AG$170,0)),"")</f>
        <v/>
      </c>
      <c r="C50" s="4" t="str">
        <f>IF($B50="","",IF(IFERROR(VLOOKUP($B50,__rbp_p!$A:$B,2,FALSE),"")&lt;&gt;"",IFERROR(VLOOKUP($B50,__rbp_p!$A:$B,2,FALSE),""),IFERROR(INDEX(DQAF_Input!$F$2:$F$170,MATCH(49,DQAF_Input!$AG$2:$AG$170,0)),"")))</f>
        <v/>
      </c>
      <c r="D50" s="4" t="str">
        <f>IF($B50="","",IFERROR(INDEX(DQAF_Input!$H$2:$H$170,MATCH(49,DQAF_Input!$AG$2:$AG$170,0)),""))</f>
        <v/>
      </c>
      <c r="E50" s="4" t="str">
        <f>IF($B50="","",IFERROR(INDEX(DQAF_Input!$J$2:$J$170,MATCH(49,DQAF_Input!$AG$2:$AG$170,0)),""))</f>
        <v/>
      </c>
      <c r="F50" s="4" t="str">
        <f>IF($B50="","",IFERROR(INDEX(DQAF_Input!$L$2:$L$170,MATCH(49,DQAF_Input!$AG$2:$AG$170,0)),""))</f>
        <v/>
      </c>
    </row>
    <row r="51" spans="1:6" x14ac:dyDescent="0.25">
      <c r="A51" s="10" t="str">
        <f>IF($B51="","",IFERROR(INDEX(DQAF_Input!$P$2:$P$170,MATCH(50,DQAF_Input!$AG$2:$AG$170,0)),""))</f>
        <v/>
      </c>
      <c r="B51" s="10" t="str">
        <f>IFERROR(INDEX(DQAF_Input!$E$2:$E$170,MATCH(50,DQAF_Input!$AG$2:$AG$170,0)),"")</f>
        <v/>
      </c>
      <c r="C51" s="4" t="str">
        <f>IF($B51="","",IF(IFERROR(VLOOKUP($B51,__rbp_p!$A:$B,2,FALSE),"")&lt;&gt;"",IFERROR(VLOOKUP($B51,__rbp_p!$A:$B,2,FALSE),""),IFERROR(INDEX(DQAF_Input!$F$2:$F$170,MATCH(50,DQAF_Input!$AG$2:$AG$170,0)),"")))</f>
        <v/>
      </c>
      <c r="D51" s="4" t="str">
        <f>IF($B51="","",IFERROR(INDEX(DQAF_Input!$H$2:$H$170,MATCH(50,DQAF_Input!$AG$2:$AG$170,0)),""))</f>
        <v/>
      </c>
      <c r="E51" s="4" t="str">
        <f>IF($B51="","",IFERROR(INDEX(DQAF_Input!$J$2:$J$170,MATCH(50,DQAF_Input!$AG$2:$AG$170,0)),""))</f>
        <v/>
      </c>
      <c r="F51" s="4" t="str">
        <f>IF($B51="","",IFERROR(INDEX(DQAF_Input!$L$2:$L$170,MATCH(50,DQAF_Input!$AG$2:$AG$170,0)),""))</f>
        <v/>
      </c>
    </row>
    <row r="52" spans="1:6" x14ac:dyDescent="0.25">
      <c r="A52" s="10" t="str">
        <f>IF($B52="","",IFERROR(INDEX(DQAF_Input!$P$2:$P$170,MATCH(51,DQAF_Input!$AG$2:$AG$170,0)),""))</f>
        <v/>
      </c>
      <c r="B52" s="10" t="str">
        <f>IFERROR(INDEX(DQAF_Input!$E$2:$E$170,MATCH(51,DQAF_Input!$AG$2:$AG$170,0)),"")</f>
        <v/>
      </c>
      <c r="C52" s="4" t="str">
        <f>IF($B52="","",IF(IFERROR(VLOOKUP($B52,__rbp_p!$A:$B,2,FALSE),"")&lt;&gt;"",IFERROR(VLOOKUP($B52,__rbp_p!$A:$B,2,FALSE),""),IFERROR(INDEX(DQAF_Input!$F$2:$F$170,MATCH(51,DQAF_Input!$AG$2:$AG$170,0)),"")))</f>
        <v/>
      </c>
      <c r="D52" s="4" t="str">
        <f>IF($B52="","",IFERROR(INDEX(DQAF_Input!$H$2:$H$170,MATCH(51,DQAF_Input!$AG$2:$AG$170,0)),""))</f>
        <v/>
      </c>
      <c r="E52" s="4" t="str">
        <f>IF($B52="","",IFERROR(INDEX(DQAF_Input!$J$2:$J$170,MATCH(51,DQAF_Input!$AG$2:$AG$170,0)),""))</f>
        <v/>
      </c>
      <c r="F52" s="4" t="str">
        <f>IF($B52="","",IFERROR(INDEX(DQAF_Input!$L$2:$L$170,MATCH(51,DQAF_Input!$AG$2:$AG$170,0)),""))</f>
        <v/>
      </c>
    </row>
    <row r="53" spans="1:6" x14ac:dyDescent="0.25">
      <c r="A53" s="10" t="str">
        <f>IF($B53="","",IFERROR(INDEX(DQAF_Input!$P$2:$P$170,MATCH(52,DQAF_Input!$AG$2:$AG$170,0)),""))</f>
        <v/>
      </c>
      <c r="B53" s="10" t="str">
        <f>IFERROR(INDEX(DQAF_Input!$E$2:$E$170,MATCH(52,DQAF_Input!$AG$2:$AG$170,0)),"")</f>
        <v/>
      </c>
      <c r="C53" s="4" t="str">
        <f>IF($B53="","",IF(IFERROR(VLOOKUP($B53,__rbp_p!$A:$B,2,FALSE),"")&lt;&gt;"",IFERROR(VLOOKUP($B53,__rbp_p!$A:$B,2,FALSE),""),IFERROR(INDEX(DQAF_Input!$F$2:$F$170,MATCH(52,DQAF_Input!$AG$2:$AG$170,0)),"")))</f>
        <v/>
      </c>
      <c r="D53" s="4" t="str">
        <f>IF($B53="","",IFERROR(INDEX(DQAF_Input!$H$2:$H$170,MATCH(52,DQAF_Input!$AG$2:$AG$170,0)),""))</f>
        <v/>
      </c>
      <c r="E53" s="4" t="str">
        <f>IF($B53="","",IFERROR(INDEX(DQAF_Input!$J$2:$J$170,MATCH(52,DQAF_Input!$AG$2:$AG$170,0)),""))</f>
        <v/>
      </c>
      <c r="F53" s="4" t="str">
        <f>IF($B53="","",IFERROR(INDEX(DQAF_Input!$L$2:$L$170,MATCH(52,DQAF_Input!$AG$2:$AG$170,0)),""))</f>
        <v/>
      </c>
    </row>
    <row r="54" spans="1:6" x14ac:dyDescent="0.25">
      <c r="A54" s="10" t="str">
        <f>IF($B54="","",IFERROR(INDEX(DQAF_Input!$P$2:$P$170,MATCH(53,DQAF_Input!$AG$2:$AG$170,0)),""))</f>
        <v/>
      </c>
      <c r="B54" s="10" t="str">
        <f>IFERROR(INDEX(DQAF_Input!$E$2:$E$170,MATCH(53,DQAF_Input!$AG$2:$AG$170,0)),"")</f>
        <v/>
      </c>
      <c r="C54" s="4" t="str">
        <f>IF($B54="","",IF(IFERROR(VLOOKUP($B54,__rbp_p!$A:$B,2,FALSE),"")&lt;&gt;"",IFERROR(VLOOKUP($B54,__rbp_p!$A:$B,2,FALSE),""),IFERROR(INDEX(DQAF_Input!$F$2:$F$170,MATCH(53,DQAF_Input!$AG$2:$AG$170,0)),"")))</f>
        <v/>
      </c>
      <c r="D54" s="4" t="str">
        <f>IF($B54="","",IFERROR(INDEX(DQAF_Input!$H$2:$H$170,MATCH(53,DQAF_Input!$AG$2:$AG$170,0)),""))</f>
        <v/>
      </c>
      <c r="E54" s="4" t="str">
        <f>IF($B54="","",IFERROR(INDEX(DQAF_Input!$J$2:$J$170,MATCH(53,DQAF_Input!$AG$2:$AG$170,0)),""))</f>
        <v/>
      </c>
      <c r="F54" s="4" t="str">
        <f>IF($B54="","",IFERROR(INDEX(DQAF_Input!$L$2:$L$170,MATCH(53,DQAF_Input!$AG$2:$AG$170,0)),""))</f>
        <v/>
      </c>
    </row>
    <row r="55" spans="1:6" x14ac:dyDescent="0.25">
      <c r="A55" s="10" t="str">
        <f>IF($B55="","",IFERROR(INDEX(DQAF_Input!$P$2:$P$170,MATCH(54,DQAF_Input!$AG$2:$AG$170,0)),""))</f>
        <v/>
      </c>
      <c r="B55" s="10" t="str">
        <f>IFERROR(INDEX(DQAF_Input!$E$2:$E$170,MATCH(54,DQAF_Input!$AG$2:$AG$170,0)),"")</f>
        <v/>
      </c>
      <c r="C55" s="4" t="str">
        <f>IF($B55="","",IF(IFERROR(VLOOKUP($B55,__rbp_p!$A:$B,2,FALSE),"")&lt;&gt;"",IFERROR(VLOOKUP($B55,__rbp_p!$A:$B,2,FALSE),""),IFERROR(INDEX(DQAF_Input!$F$2:$F$170,MATCH(54,DQAF_Input!$AG$2:$AG$170,0)),"")))</f>
        <v/>
      </c>
      <c r="D55" s="4" t="str">
        <f>IF($B55="","",IFERROR(INDEX(DQAF_Input!$H$2:$H$170,MATCH(54,DQAF_Input!$AG$2:$AG$170,0)),""))</f>
        <v/>
      </c>
      <c r="E55" s="4" t="str">
        <f>IF($B55="","",IFERROR(INDEX(DQAF_Input!$J$2:$J$170,MATCH(54,DQAF_Input!$AG$2:$AG$170,0)),""))</f>
        <v/>
      </c>
      <c r="F55" s="4" t="str">
        <f>IF($B55="","",IFERROR(INDEX(DQAF_Input!$L$2:$L$170,MATCH(54,DQAF_Input!$AG$2:$AG$170,0)),""))</f>
        <v/>
      </c>
    </row>
    <row r="56" spans="1:6" x14ac:dyDescent="0.25">
      <c r="A56" s="10" t="str">
        <f>IF($B56="","",IFERROR(INDEX(DQAF_Input!$P$2:$P$170,MATCH(55,DQAF_Input!$AG$2:$AG$170,0)),""))</f>
        <v/>
      </c>
      <c r="B56" s="10" t="str">
        <f>IFERROR(INDEX(DQAF_Input!$E$2:$E$170,MATCH(55,DQAF_Input!$AG$2:$AG$170,0)),"")</f>
        <v/>
      </c>
      <c r="C56" s="4" t="str">
        <f>IF($B56="","",IF(IFERROR(VLOOKUP($B56,__rbp_p!$A:$B,2,FALSE),"")&lt;&gt;"",IFERROR(VLOOKUP($B56,__rbp_p!$A:$B,2,FALSE),""),IFERROR(INDEX(DQAF_Input!$F$2:$F$170,MATCH(55,DQAF_Input!$AG$2:$AG$170,0)),"")))</f>
        <v/>
      </c>
      <c r="D56" s="4" t="str">
        <f>IF($B56="","",IFERROR(INDEX(DQAF_Input!$H$2:$H$170,MATCH(55,DQAF_Input!$AG$2:$AG$170,0)),""))</f>
        <v/>
      </c>
      <c r="E56" s="4" t="str">
        <f>IF($B56="","",IFERROR(INDEX(DQAF_Input!$J$2:$J$170,MATCH(55,DQAF_Input!$AG$2:$AG$170,0)),""))</f>
        <v/>
      </c>
      <c r="F56" s="4" t="str">
        <f>IF($B56="","",IFERROR(INDEX(DQAF_Input!$L$2:$L$170,MATCH(55,DQAF_Input!$AG$2:$AG$170,0)),""))</f>
        <v/>
      </c>
    </row>
    <row r="57" spans="1:6" x14ac:dyDescent="0.25">
      <c r="A57" s="10" t="str">
        <f>IF($B57="","",IFERROR(INDEX(DQAF_Input!$P$2:$P$170,MATCH(56,DQAF_Input!$AG$2:$AG$170,0)),""))</f>
        <v/>
      </c>
      <c r="B57" s="10" t="str">
        <f>IFERROR(INDEX(DQAF_Input!$E$2:$E$170,MATCH(56,DQAF_Input!$AG$2:$AG$170,0)),"")</f>
        <v/>
      </c>
      <c r="C57" s="4" t="str">
        <f>IF($B57="","",IF(IFERROR(VLOOKUP($B57,__rbp_p!$A:$B,2,FALSE),"")&lt;&gt;"",IFERROR(VLOOKUP($B57,__rbp_p!$A:$B,2,FALSE),""),IFERROR(INDEX(DQAF_Input!$F$2:$F$170,MATCH(56,DQAF_Input!$AG$2:$AG$170,0)),"")))</f>
        <v/>
      </c>
      <c r="D57" s="4" t="str">
        <f>IF($B57="","",IFERROR(INDEX(DQAF_Input!$H$2:$H$170,MATCH(56,DQAF_Input!$AG$2:$AG$170,0)),""))</f>
        <v/>
      </c>
      <c r="E57" s="4" t="str">
        <f>IF($B57="","",IFERROR(INDEX(DQAF_Input!$J$2:$J$170,MATCH(56,DQAF_Input!$AG$2:$AG$170,0)),""))</f>
        <v/>
      </c>
      <c r="F57" s="4" t="str">
        <f>IF($B57="","",IFERROR(INDEX(DQAF_Input!$L$2:$L$170,MATCH(56,DQAF_Input!$AG$2:$AG$170,0)),""))</f>
        <v/>
      </c>
    </row>
    <row r="58" spans="1:6" x14ac:dyDescent="0.25">
      <c r="A58" s="10" t="str">
        <f>IF($B58="","",IFERROR(INDEX(DQAF_Input!$P$2:$P$170,MATCH(57,DQAF_Input!$AG$2:$AG$170,0)),""))</f>
        <v/>
      </c>
      <c r="B58" s="10" t="str">
        <f>IFERROR(INDEX(DQAF_Input!$E$2:$E$170,MATCH(57,DQAF_Input!$AG$2:$AG$170,0)),"")</f>
        <v/>
      </c>
      <c r="C58" s="4" t="str">
        <f>IF($B58="","",IF(IFERROR(VLOOKUP($B58,__rbp_p!$A:$B,2,FALSE),"")&lt;&gt;"",IFERROR(VLOOKUP($B58,__rbp_p!$A:$B,2,FALSE),""),IFERROR(INDEX(DQAF_Input!$F$2:$F$170,MATCH(57,DQAF_Input!$AG$2:$AG$170,0)),"")))</f>
        <v/>
      </c>
      <c r="D58" s="4" t="str">
        <f>IF($B58="","",IFERROR(INDEX(DQAF_Input!$H$2:$H$170,MATCH(57,DQAF_Input!$AG$2:$AG$170,0)),""))</f>
        <v/>
      </c>
      <c r="E58" s="4" t="str">
        <f>IF($B58="","",IFERROR(INDEX(DQAF_Input!$J$2:$J$170,MATCH(57,DQAF_Input!$AG$2:$AG$170,0)),""))</f>
        <v/>
      </c>
      <c r="F58" s="4" t="str">
        <f>IF($B58="","",IFERROR(INDEX(DQAF_Input!$L$2:$L$170,MATCH(57,DQAF_Input!$AG$2:$AG$170,0)),""))</f>
        <v/>
      </c>
    </row>
    <row r="59" spans="1:6" x14ac:dyDescent="0.25">
      <c r="A59" s="10" t="str">
        <f>IF($B59="","",IFERROR(INDEX(DQAF_Input!$P$2:$P$170,MATCH(58,DQAF_Input!$AG$2:$AG$170,0)),""))</f>
        <v/>
      </c>
      <c r="B59" s="10" t="str">
        <f>IFERROR(INDEX(DQAF_Input!$E$2:$E$170,MATCH(58,DQAF_Input!$AG$2:$AG$170,0)),"")</f>
        <v/>
      </c>
      <c r="C59" s="4" t="str">
        <f>IF($B59="","",IF(IFERROR(VLOOKUP($B59,__rbp_p!$A:$B,2,FALSE),"")&lt;&gt;"",IFERROR(VLOOKUP($B59,__rbp_p!$A:$B,2,FALSE),""),IFERROR(INDEX(DQAF_Input!$F$2:$F$170,MATCH(58,DQAF_Input!$AG$2:$AG$170,0)),"")))</f>
        <v/>
      </c>
      <c r="D59" s="4" t="str">
        <f>IF($B59="","",IFERROR(INDEX(DQAF_Input!$H$2:$H$170,MATCH(58,DQAF_Input!$AG$2:$AG$170,0)),""))</f>
        <v/>
      </c>
      <c r="E59" s="4" t="str">
        <f>IF($B59="","",IFERROR(INDEX(DQAF_Input!$J$2:$J$170,MATCH(58,DQAF_Input!$AG$2:$AG$170,0)),""))</f>
        <v/>
      </c>
      <c r="F59" s="4" t="str">
        <f>IF($B59="","",IFERROR(INDEX(DQAF_Input!$L$2:$L$170,MATCH(58,DQAF_Input!$AG$2:$AG$170,0)),""))</f>
        <v/>
      </c>
    </row>
    <row r="60" spans="1:6" x14ac:dyDescent="0.25">
      <c r="A60" s="10" t="str">
        <f>IF($B60="","",IFERROR(INDEX(DQAF_Input!$P$2:$P$170,MATCH(59,DQAF_Input!$AG$2:$AG$170,0)),""))</f>
        <v/>
      </c>
      <c r="B60" s="10" t="str">
        <f>IFERROR(INDEX(DQAF_Input!$E$2:$E$170,MATCH(59,DQAF_Input!$AG$2:$AG$170,0)),"")</f>
        <v/>
      </c>
      <c r="C60" s="4" t="str">
        <f>IF($B60="","",IF(IFERROR(VLOOKUP($B60,__rbp_p!$A:$B,2,FALSE),"")&lt;&gt;"",IFERROR(VLOOKUP($B60,__rbp_p!$A:$B,2,FALSE),""),IFERROR(INDEX(DQAF_Input!$F$2:$F$170,MATCH(59,DQAF_Input!$AG$2:$AG$170,0)),"")))</f>
        <v/>
      </c>
      <c r="D60" s="4" t="str">
        <f>IF($B60="","",IFERROR(INDEX(DQAF_Input!$H$2:$H$170,MATCH(59,DQAF_Input!$AG$2:$AG$170,0)),""))</f>
        <v/>
      </c>
      <c r="E60" s="4" t="str">
        <f>IF($B60="","",IFERROR(INDEX(DQAF_Input!$J$2:$J$170,MATCH(59,DQAF_Input!$AG$2:$AG$170,0)),""))</f>
        <v/>
      </c>
      <c r="F60" s="4" t="str">
        <f>IF($B60="","",IFERROR(INDEX(DQAF_Input!$L$2:$L$170,MATCH(59,DQAF_Input!$AG$2:$AG$170,0)),""))</f>
        <v/>
      </c>
    </row>
    <row r="61" spans="1:6" x14ac:dyDescent="0.25">
      <c r="A61" s="10" t="str">
        <f>IF($B61="","",IFERROR(INDEX(DQAF_Input!$P$2:$P$170,MATCH(60,DQAF_Input!$AG$2:$AG$170,0)),""))</f>
        <v/>
      </c>
      <c r="B61" s="10" t="str">
        <f>IFERROR(INDEX(DQAF_Input!$E$2:$E$170,MATCH(60,DQAF_Input!$AG$2:$AG$170,0)),"")</f>
        <v/>
      </c>
      <c r="C61" s="4" t="str">
        <f>IF($B61="","",IF(IFERROR(VLOOKUP($B61,__rbp_p!$A:$B,2,FALSE),"")&lt;&gt;"",IFERROR(VLOOKUP($B61,__rbp_p!$A:$B,2,FALSE),""),IFERROR(INDEX(DQAF_Input!$F$2:$F$170,MATCH(60,DQAF_Input!$AG$2:$AG$170,0)),"")))</f>
        <v/>
      </c>
      <c r="D61" s="4" t="str">
        <f>IF($B61="","",IFERROR(INDEX(DQAF_Input!$H$2:$H$170,MATCH(60,DQAF_Input!$AG$2:$AG$170,0)),""))</f>
        <v/>
      </c>
      <c r="E61" s="4" t="str">
        <f>IF($B61="","",IFERROR(INDEX(DQAF_Input!$J$2:$J$170,MATCH(60,DQAF_Input!$AG$2:$AG$170,0)),""))</f>
        <v/>
      </c>
      <c r="F61" s="4" t="str">
        <f>IF($B61="","",IFERROR(INDEX(DQAF_Input!$L$2:$L$170,MATCH(60,DQAF_Input!$AG$2:$AG$170,0)),""))</f>
        <v/>
      </c>
    </row>
    <row r="62" spans="1:6" x14ac:dyDescent="0.25">
      <c r="A62" s="10" t="str">
        <f>IF($B62="","",IFERROR(INDEX(DQAF_Input!$P$2:$P$170,MATCH(61,DQAF_Input!$AG$2:$AG$170,0)),""))</f>
        <v/>
      </c>
      <c r="B62" s="10" t="str">
        <f>IFERROR(INDEX(DQAF_Input!$E$2:$E$170,MATCH(61,DQAF_Input!$AG$2:$AG$170,0)),"")</f>
        <v/>
      </c>
      <c r="C62" s="4" t="str">
        <f>IF($B62="","",IF(IFERROR(VLOOKUP($B62,__rbp_p!$A:$B,2,FALSE),"")&lt;&gt;"",IFERROR(VLOOKUP($B62,__rbp_p!$A:$B,2,FALSE),""),IFERROR(INDEX(DQAF_Input!$F$2:$F$170,MATCH(61,DQAF_Input!$AG$2:$AG$170,0)),"")))</f>
        <v/>
      </c>
      <c r="D62" s="4" t="str">
        <f>IF($B62="","",IFERROR(INDEX(DQAF_Input!$H$2:$H$170,MATCH(61,DQAF_Input!$AG$2:$AG$170,0)),""))</f>
        <v/>
      </c>
      <c r="E62" s="4" t="str">
        <f>IF($B62="","",IFERROR(INDEX(DQAF_Input!$J$2:$J$170,MATCH(61,DQAF_Input!$AG$2:$AG$170,0)),""))</f>
        <v/>
      </c>
      <c r="F62" s="4" t="str">
        <f>IF($B62="","",IFERROR(INDEX(DQAF_Input!$L$2:$L$170,MATCH(61,DQAF_Input!$AG$2:$AG$170,0)),""))</f>
        <v/>
      </c>
    </row>
    <row r="63" spans="1:6" x14ac:dyDescent="0.25">
      <c r="A63" s="10" t="str">
        <f>IF($B63="","",IFERROR(INDEX(DQAF_Input!$P$2:$P$170,MATCH(62,DQAF_Input!$AG$2:$AG$170,0)),""))</f>
        <v/>
      </c>
      <c r="B63" s="10" t="str">
        <f>IFERROR(INDEX(DQAF_Input!$E$2:$E$170,MATCH(62,DQAF_Input!$AG$2:$AG$170,0)),"")</f>
        <v/>
      </c>
      <c r="C63" s="4" t="str">
        <f>IF($B63="","",IF(IFERROR(VLOOKUP($B63,__rbp_p!$A:$B,2,FALSE),"")&lt;&gt;"",IFERROR(VLOOKUP($B63,__rbp_p!$A:$B,2,FALSE),""),IFERROR(INDEX(DQAF_Input!$F$2:$F$170,MATCH(62,DQAF_Input!$AG$2:$AG$170,0)),"")))</f>
        <v/>
      </c>
      <c r="D63" s="4" t="str">
        <f>IF($B63="","",IFERROR(INDEX(DQAF_Input!$H$2:$H$170,MATCH(62,DQAF_Input!$AG$2:$AG$170,0)),""))</f>
        <v/>
      </c>
      <c r="E63" s="4" t="str">
        <f>IF($B63="","",IFERROR(INDEX(DQAF_Input!$J$2:$J$170,MATCH(62,DQAF_Input!$AG$2:$AG$170,0)),""))</f>
        <v/>
      </c>
      <c r="F63" s="4" t="str">
        <f>IF($B63="","",IFERROR(INDEX(DQAF_Input!$L$2:$L$170,MATCH(62,DQAF_Input!$AG$2:$AG$170,0)),""))</f>
        <v/>
      </c>
    </row>
    <row r="64" spans="1:6" x14ac:dyDescent="0.25">
      <c r="A64" s="10" t="str">
        <f>IF($B64="","",IFERROR(INDEX(DQAF_Input!$P$2:$P$170,MATCH(63,DQAF_Input!$AG$2:$AG$170,0)),""))</f>
        <v/>
      </c>
      <c r="B64" s="10" t="str">
        <f>IFERROR(INDEX(DQAF_Input!$E$2:$E$170,MATCH(63,DQAF_Input!$AG$2:$AG$170,0)),"")</f>
        <v/>
      </c>
      <c r="C64" s="4" t="str">
        <f>IF($B64="","",IF(IFERROR(VLOOKUP($B64,__rbp_p!$A:$B,2,FALSE),"")&lt;&gt;"",IFERROR(VLOOKUP($B64,__rbp_p!$A:$B,2,FALSE),""),IFERROR(INDEX(DQAF_Input!$F$2:$F$170,MATCH(63,DQAF_Input!$AG$2:$AG$170,0)),"")))</f>
        <v/>
      </c>
      <c r="D64" s="4" t="str">
        <f>IF($B64="","",IFERROR(INDEX(DQAF_Input!$H$2:$H$170,MATCH(63,DQAF_Input!$AG$2:$AG$170,0)),""))</f>
        <v/>
      </c>
      <c r="E64" s="4" t="str">
        <f>IF($B64="","",IFERROR(INDEX(DQAF_Input!$J$2:$J$170,MATCH(63,DQAF_Input!$AG$2:$AG$170,0)),""))</f>
        <v/>
      </c>
      <c r="F64" s="4" t="str">
        <f>IF($B64="","",IFERROR(INDEX(DQAF_Input!$L$2:$L$170,MATCH(63,DQAF_Input!$AG$2:$AG$170,0)),""))</f>
        <v/>
      </c>
    </row>
    <row r="65" spans="1:6" x14ac:dyDescent="0.25">
      <c r="A65" s="10" t="str">
        <f>IF($B65="","",IFERROR(INDEX(DQAF_Input!$P$2:$P$170,MATCH(64,DQAF_Input!$AG$2:$AG$170,0)),""))</f>
        <v/>
      </c>
      <c r="B65" s="10" t="str">
        <f>IFERROR(INDEX(DQAF_Input!$E$2:$E$170,MATCH(64,DQAF_Input!$AG$2:$AG$170,0)),"")</f>
        <v/>
      </c>
      <c r="C65" s="4" t="str">
        <f>IF($B65="","",IF(IFERROR(VLOOKUP($B65,__rbp_p!$A:$B,2,FALSE),"")&lt;&gt;"",IFERROR(VLOOKUP($B65,__rbp_p!$A:$B,2,FALSE),""),IFERROR(INDEX(DQAF_Input!$F$2:$F$170,MATCH(64,DQAF_Input!$AG$2:$AG$170,0)),"")))</f>
        <v/>
      </c>
      <c r="D65" s="4" t="str">
        <f>IF($B65="","",IFERROR(INDEX(DQAF_Input!$H$2:$H$170,MATCH(64,DQAF_Input!$AG$2:$AG$170,0)),""))</f>
        <v/>
      </c>
      <c r="E65" s="4" t="str">
        <f>IF($B65="","",IFERROR(INDEX(DQAF_Input!$J$2:$J$170,MATCH(64,DQAF_Input!$AG$2:$AG$170,0)),""))</f>
        <v/>
      </c>
      <c r="F65" s="4" t="str">
        <f>IF($B65="","",IFERROR(INDEX(DQAF_Input!$L$2:$L$170,MATCH(64,DQAF_Input!$AG$2:$AG$170,0)),""))</f>
        <v/>
      </c>
    </row>
    <row r="66" spans="1:6" x14ac:dyDescent="0.25">
      <c r="A66" s="10" t="str">
        <f>IF($B66="","",IFERROR(INDEX(DQAF_Input!$P$2:$P$170,MATCH(65,DQAF_Input!$AG$2:$AG$170,0)),""))</f>
        <v/>
      </c>
      <c r="B66" s="10" t="str">
        <f>IFERROR(INDEX(DQAF_Input!$E$2:$E$170,MATCH(65,DQAF_Input!$AG$2:$AG$170,0)),"")</f>
        <v/>
      </c>
      <c r="C66" s="4" t="str">
        <f>IF($B66="","",IF(IFERROR(VLOOKUP($B66,__rbp_p!$A:$B,2,FALSE),"")&lt;&gt;"",IFERROR(VLOOKUP($B66,__rbp_p!$A:$B,2,FALSE),""),IFERROR(INDEX(DQAF_Input!$F$2:$F$170,MATCH(65,DQAF_Input!$AG$2:$AG$170,0)),"")))</f>
        <v/>
      </c>
      <c r="D66" s="4" t="str">
        <f>IF($B66="","",IFERROR(INDEX(DQAF_Input!$H$2:$H$170,MATCH(65,DQAF_Input!$AG$2:$AG$170,0)),""))</f>
        <v/>
      </c>
      <c r="E66" s="4" t="str">
        <f>IF($B66="","",IFERROR(INDEX(DQAF_Input!$J$2:$J$170,MATCH(65,DQAF_Input!$AG$2:$AG$170,0)),""))</f>
        <v/>
      </c>
      <c r="F66" s="4" t="str">
        <f>IF($B66="","",IFERROR(INDEX(DQAF_Input!$L$2:$L$170,MATCH(65,DQAF_Input!$AG$2:$AG$170,0)),""))</f>
        <v/>
      </c>
    </row>
    <row r="67" spans="1:6" x14ac:dyDescent="0.25">
      <c r="A67" s="10" t="str">
        <f>IF($B67="","",IFERROR(INDEX(DQAF_Input!$P$2:$P$170,MATCH(66,DQAF_Input!$AG$2:$AG$170,0)),""))</f>
        <v/>
      </c>
      <c r="B67" s="10" t="str">
        <f>IFERROR(INDEX(DQAF_Input!$E$2:$E$170,MATCH(66,DQAF_Input!$AG$2:$AG$170,0)),"")</f>
        <v/>
      </c>
      <c r="C67" s="4" t="str">
        <f>IF($B67="","",IF(IFERROR(VLOOKUP($B67,__rbp_p!$A:$B,2,FALSE),"")&lt;&gt;"",IFERROR(VLOOKUP($B67,__rbp_p!$A:$B,2,FALSE),""),IFERROR(INDEX(DQAF_Input!$F$2:$F$170,MATCH(66,DQAF_Input!$AG$2:$AG$170,0)),"")))</f>
        <v/>
      </c>
      <c r="D67" s="4" t="str">
        <f>IF($B67="","",IFERROR(INDEX(DQAF_Input!$H$2:$H$170,MATCH(66,DQAF_Input!$AG$2:$AG$170,0)),""))</f>
        <v/>
      </c>
      <c r="E67" s="4" t="str">
        <f>IF($B67="","",IFERROR(INDEX(DQAF_Input!$J$2:$J$170,MATCH(66,DQAF_Input!$AG$2:$AG$170,0)),""))</f>
        <v/>
      </c>
      <c r="F67" s="4" t="str">
        <f>IF($B67="","",IFERROR(INDEX(DQAF_Input!$L$2:$L$170,MATCH(66,DQAF_Input!$AG$2:$AG$170,0)),""))</f>
        <v/>
      </c>
    </row>
    <row r="68" spans="1:6" x14ac:dyDescent="0.25">
      <c r="A68" s="10" t="str">
        <f>IF($B68="","",IFERROR(INDEX(DQAF_Input!$P$2:$P$170,MATCH(67,DQAF_Input!$AG$2:$AG$170,0)),""))</f>
        <v/>
      </c>
      <c r="B68" s="10" t="str">
        <f>IFERROR(INDEX(DQAF_Input!$E$2:$E$170,MATCH(67,DQAF_Input!$AG$2:$AG$170,0)),"")</f>
        <v/>
      </c>
      <c r="C68" s="4" t="str">
        <f>IF($B68="","",IF(IFERROR(VLOOKUP($B68,__rbp_p!$A:$B,2,FALSE),"")&lt;&gt;"",IFERROR(VLOOKUP($B68,__rbp_p!$A:$B,2,FALSE),""),IFERROR(INDEX(DQAF_Input!$F$2:$F$170,MATCH(67,DQAF_Input!$AG$2:$AG$170,0)),"")))</f>
        <v/>
      </c>
      <c r="D68" s="4" t="str">
        <f>IF($B68="","",IFERROR(INDEX(DQAF_Input!$H$2:$H$170,MATCH(67,DQAF_Input!$AG$2:$AG$170,0)),""))</f>
        <v/>
      </c>
      <c r="E68" s="4" t="str">
        <f>IF($B68="","",IFERROR(INDEX(DQAF_Input!$J$2:$J$170,MATCH(67,DQAF_Input!$AG$2:$AG$170,0)),""))</f>
        <v/>
      </c>
      <c r="F68" s="4" t="str">
        <f>IF($B68="","",IFERROR(INDEX(DQAF_Input!$L$2:$L$170,MATCH(67,DQAF_Input!$AG$2:$AG$170,0)),""))</f>
        <v/>
      </c>
    </row>
    <row r="69" spans="1:6" x14ac:dyDescent="0.25">
      <c r="A69" s="10" t="str">
        <f>IF($B69="","",IFERROR(INDEX(DQAF_Input!$P$2:$P$170,MATCH(68,DQAF_Input!$AG$2:$AG$170,0)),""))</f>
        <v/>
      </c>
      <c r="B69" s="10" t="str">
        <f>IFERROR(INDEX(DQAF_Input!$E$2:$E$170,MATCH(68,DQAF_Input!$AG$2:$AG$170,0)),"")</f>
        <v/>
      </c>
      <c r="C69" s="4" t="str">
        <f>IF($B69="","",IF(IFERROR(VLOOKUP($B69,__rbp_p!$A:$B,2,FALSE),"")&lt;&gt;"",IFERROR(VLOOKUP($B69,__rbp_p!$A:$B,2,FALSE),""),IFERROR(INDEX(DQAF_Input!$F$2:$F$170,MATCH(68,DQAF_Input!$AG$2:$AG$170,0)),"")))</f>
        <v/>
      </c>
      <c r="D69" s="4" t="str">
        <f>IF($B69="","",IFERROR(INDEX(DQAF_Input!$H$2:$H$170,MATCH(68,DQAF_Input!$AG$2:$AG$170,0)),""))</f>
        <v/>
      </c>
      <c r="E69" s="4" t="str">
        <f>IF($B69="","",IFERROR(INDEX(DQAF_Input!$J$2:$J$170,MATCH(68,DQAF_Input!$AG$2:$AG$170,0)),""))</f>
        <v/>
      </c>
      <c r="F69" s="4" t="str">
        <f>IF($B69="","",IFERROR(INDEX(DQAF_Input!$L$2:$L$170,MATCH(68,DQAF_Input!$AG$2:$AG$170,0)),""))</f>
        <v/>
      </c>
    </row>
    <row r="70" spans="1:6" x14ac:dyDescent="0.25">
      <c r="A70" s="10" t="str">
        <f>IF($B70="","",IFERROR(INDEX(DQAF_Input!$P$2:$P$170,MATCH(69,DQAF_Input!$AG$2:$AG$170,0)),""))</f>
        <v/>
      </c>
      <c r="B70" s="10" t="str">
        <f>IFERROR(INDEX(DQAF_Input!$E$2:$E$170,MATCH(69,DQAF_Input!$AG$2:$AG$170,0)),"")</f>
        <v/>
      </c>
      <c r="C70" s="4" t="str">
        <f>IF($B70="","",IF(IFERROR(VLOOKUP($B70,__rbp_p!$A:$B,2,FALSE),"")&lt;&gt;"",IFERROR(VLOOKUP($B70,__rbp_p!$A:$B,2,FALSE),""),IFERROR(INDEX(DQAF_Input!$F$2:$F$170,MATCH(69,DQAF_Input!$AG$2:$AG$170,0)),"")))</f>
        <v/>
      </c>
      <c r="D70" s="4" t="str">
        <f>IF($B70="","",IFERROR(INDEX(DQAF_Input!$H$2:$H$170,MATCH(69,DQAF_Input!$AG$2:$AG$170,0)),""))</f>
        <v/>
      </c>
      <c r="E70" s="4" t="str">
        <f>IF($B70="","",IFERROR(INDEX(DQAF_Input!$J$2:$J$170,MATCH(69,DQAF_Input!$AG$2:$AG$170,0)),""))</f>
        <v/>
      </c>
      <c r="F70" s="4" t="str">
        <f>IF($B70="","",IFERROR(INDEX(DQAF_Input!$L$2:$L$170,MATCH(69,DQAF_Input!$AG$2:$AG$170,0)),""))</f>
        <v/>
      </c>
    </row>
    <row r="71" spans="1:6" x14ac:dyDescent="0.25">
      <c r="A71" s="10" t="str">
        <f>IF($B71="","",IFERROR(INDEX(DQAF_Input!$P$2:$P$170,MATCH(70,DQAF_Input!$AG$2:$AG$170,0)),""))</f>
        <v/>
      </c>
      <c r="B71" s="10" t="str">
        <f>IFERROR(INDEX(DQAF_Input!$E$2:$E$170,MATCH(70,DQAF_Input!$AG$2:$AG$170,0)),"")</f>
        <v/>
      </c>
      <c r="C71" s="4" t="str">
        <f>IF($B71="","",IF(IFERROR(VLOOKUP($B71,__rbp_p!$A:$B,2,FALSE),"")&lt;&gt;"",IFERROR(VLOOKUP($B71,__rbp_p!$A:$B,2,FALSE),""),IFERROR(INDEX(DQAF_Input!$F$2:$F$170,MATCH(70,DQAF_Input!$AG$2:$AG$170,0)),"")))</f>
        <v/>
      </c>
      <c r="D71" s="4" t="str">
        <f>IF($B71="","",IFERROR(INDEX(DQAF_Input!$H$2:$H$170,MATCH(70,DQAF_Input!$AG$2:$AG$170,0)),""))</f>
        <v/>
      </c>
      <c r="E71" s="4" t="str">
        <f>IF($B71="","",IFERROR(INDEX(DQAF_Input!$J$2:$J$170,MATCH(70,DQAF_Input!$AG$2:$AG$170,0)),""))</f>
        <v/>
      </c>
      <c r="F71" s="4" t="str">
        <f>IF($B71="","",IFERROR(INDEX(DQAF_Input!$L$2:$L$170,MATCH(70,DQAF_Input!$AG$2:$AG$170,0)),""))</f>
        <v/>
      </c>
    </row>
    <row r="72" spans="1:6" x14ac:dyDescent="0.25">
      <c r="A72" s="10" t="str">
        <f>IF($B72="","",IFERROR(INDEX(DQAF_Input!$P$2:$P$170,MATCH(71,DQAF_Input!$AG$2:$AG$170,0)),""))</f>
        <v/>
      </c>
      <c r="B72" s="10" t="str">
        <f>IFERROR(INDEX(DQAF_Input!$E$2:$E$170,MATCH(71,DQAF_Input!$AG$2:$AG$170,0)),"")</f>
        <v/>
      </c>
      <c r="C72" s="4" t="str">
        <f>IF($B72="","",IF(IFERROR(VLOOKUP($B72,__rbp_p!$A:$B,2,FALSE),"")&lt;&gt;"",IFERROR(VLOOKUP($B72,__rbp_p!$A:$B,2,FALSE),""),IFERROR(INDEX(DQAF_Input!$F$2:$F$170,MATCH(71,DQAF_Input!$AG$2:$AG$170,0)),"")))</f>
        <v/>
      </c>
      <c r="D72" s="4" t="str">
        <f>IF($B72="","",IFERROR(INDEX(DQAF_Input!$H$2:$H$170,MATCH(71,DQAF_Input!$AG$2:$AG$170,0)),""))</f>
        <v/>
      </c>
      <c r="E72" s="4" t="str">
        <f>IF($B72="","",IFERROR(INDEX(DQAF_Input!$J$2:$J$170,MATCH(71,DQAF_Input!$AG$2:$AG$170,0)),""))</f>
        <v/>
      </c>
      <c r="F72" s="4" t="str">
        <f>IF($B72="","",IFERROR(INDEX(DQAF_Input!$L$2:$L$170,MATCH(71,DQAF_Input!$AG$2:$AG$170,0)),""))</f>
        <v/>
      </c>
    </row>
    <row r="73" spans="1:6" x14ac:dyDescent="0.25">
      <c r="A73" s="10" t="str">
        <f>IF($B73="","",IFERROR(INDEX(DQAF_Input!$P$2:$P$170,MATCH(72,DQAF_Input!$AG$2:$AG$170,0)),""))</f>
        <v/>
      </c>
      <c r="B73" s="10" t="str">
        <f>IFERROR(INDEX(DQAF_Input!$E$2:$E$170,MATCH(72,DQAF_Input!$AG$2:$AG$170,0)),"")</f>
        <v/>
      </c>
      <c r="C73" s="4" t="str">
        <f>IF($B73="","",IF(IFERROR(VLOOKUP($B73,__rbp_p!$A:$B,2,FALSE),"")&lt;&gt;"",IFERROR(VLOOKUP($B73,__rbp_p!$A:$B,2,FALSE),""),IFERROR(INDEX(DQAF_Input!$F$2:$F$170,MATCH(72,DQAF_Input!$AG$2:$AG$170,0)),"")))</f>
        <v/>
      </c>
      <c r="D73" s="4" t="str">
        <f>IF($B73="","",IFERROR(INDEX(DQAF_Input!$H$2:$H$170,MATCH(72,DQAF_Input!$AG$2:$AG$170,0)),""))</f>
        <v/>
      </c>
      <c r="E73" s="4" t="str">
        <f>IF($B73="","",IFERROR(INDEX(DQAF_Input!$J$2:$J$170,MATCH(72,DQAF_Input!$AG$2:$AG$170,0)),""))</f>
        <v/>
      </c>
      <c r="F73" s="4" t="str">
        <f>IF($B73="","",IFERROR(INDEX(DQAF_Input!$L$2:$L$170,MATCH(72,DQAF_Input!$AG$2:$AG$170,0)),""))</f>
        <v/>
      </c>
    </row>
    <row r="74" spans="1:6" x14ac:dyDescent="0.25">
      <c r="A74" s="10" t="str">
        <f>IF($B74="","",IFERROR(INDEX(DQAF_Input!$P$2:$P$170,MATCH(73,DQAF_Input!$AG$2:$AG$170,0)),""))</f>
        <v/>
      </c>
      <c r="B74" s="10" t="str">
        <f>IFERROR(INDEX(DQAF_Input!$E$2:$E$170,MATCH(73,DQAF_Input!$AG$2:$AG$170,0)),"")</f>
        <v/>
      </c>
      <c r="C74" s="4" t="str">
        <f>IF($B74="","",IF(IFERROR(VLOOKUP($B74,__rbp_p!$A:$B,2,FALSE),"")&lt;&gt;"",IFERROR(VLOOKUP($B74,__rbp_p!$A:$B,2,FALSE),""),IFERROR(INDEX(DQAF_Input!$F$2:$F$170,MATCH(73,DQAF_Input!$AG$2:$AG$170,0)),"")))</f>
        <v/>
      </c>
      <c r="D74" s="4" t="str">
        <f>IF($B74="","",IFERROR(INDEX(DQAF_Input!$H$2:$H$170,MATCH(73,DQAF_Input!$AG$2:$AG$170,0)),""))</f>
        <v/>
      </c>
      <c r="E74" s="4" t="str">
        <f>IF($B74="","",IFERROR(INDEX(DQAF_Input!$J$2:$J$170,MATCH(73,DQAF_Input!$AG$2:$AG$170,0)),""))</f>
        <v/>
      </c>
      <c r="F74" s="4" t="str">
        <f>IF($B74="","",IFERROR(INDEX(DQAF_Input!$L$2:$L$170,MATCH(73,DQAF_Input!$AG$2:$AG$170,0)),""))</f>
        <v/>
      </c>
    </row>
    <row r="75" spans="1:6" x14ac:dyDescent="0.25">
      <c r="A75" s="10" t="str">
        <f>IF($B75="","",IFERROR(INDEX(DQAF_Input!$P$2:$P$170,MATCH(74,DQAF_Input!$AG$2:$AG$170,0)),""))</f>
        <v/>
      </c>
      <c r="B75" s="10" t="str">
        <f>IFERROR(INDEX(DQAF_Input!$E$2:$E$170,MATCH(74,DQAF_Input!$AG$2:$AG$170,0)),"")</f>
        <v/>
      </c>
      <c r="C75" s="4" t="str">
        <f>IF($B75="","",IF(IFERROR(VLOOKUP($B75,__rbp_p!$A:$B,2,FALSE),"")&lt;&gt;"",IFERROR(VLOOKUP($B75,__rbp_p!$A:$B,2,FALSE),""),IFERROR(INDEX(DQAF_Input!$F$2:$F$170,MATCH(74,DQAF_Input!$AG$2:$AG$170,0)),"")))</f>
        <v/>
      </c>
      <c r="D75" s="4" t="str">
        <f>IF($B75="","",IFERROR(INDEX(DQAF_Input!$H$2:$H$170,MATCH(74,DQAF_Input!$AG$2:$AG$170,0)),""))</f>
        <v/>
      </c>
      <c r="E75" s="4" t="str">
        <f>IF($B75="","",IFERROR(INDEX(DQAF_Input!$J$2:$J$170,MATCH(74,DQAF_Input!$AG$2:$AG$170,0)),""))</f>
        <v/>
      </c>
      <c r="F75" s="4" t="str">
        <f>IF($B75="","",IFERROR(INDEX(DQAF_Input!$L$2:$L$170,MATCH(74,DQAF_Input!$AG$2:$AG$170,0)),""))</f>
        <v/>
      </c>
    </row>
    <row r="76" spans="1:6" x14ac:dyDescent="0.25">
      <c r="A76" s="10" t="str">
        <f>IF($B76="","",IFERROR(INDEX(DQAF_Input!$P$2:$P$170,MATCH(75,DQAF_Input!$AG$2:$AG$170,0)),""))</f>
        <v/>
      </c>
      <c r="B76" s="10" t="str">
        <f>IFERROR(INDEX(DQAF_Input!$E$2:$E$170,MATCH(75,DQAF_Input!$AG$2:$AG$170,0)),"")</f>
        <v/>
      </c>
      <c r="C76" s="4" t="str">
        <f>IF($B76="","",IF(IFERROR(VLOOKUP($B76,__rbp_p!$A:$B,2,FALSE),"")&lt;&gt;"",IFERROR(VLOOKUP($B76,__rbp_p!$A:$B,2,FALSE),""),IFERROR(INDEX(DQAF_Input!$F$2:$F$170,MATCH(75,DQAF_Input!$AG$2:$AG$170,0)),"")))</f>
        <v/>
      </c>
      <c r="D76" s="4" t="str">
        <f>IF($B76="","",IFERROR(INDEX(DQAF_Input!$H$2:$H$170,MATCH(75,DQAF_Input!$AG$2:$AG$170,0)),""))</f>
        <v/>
      </c>
      <c r="E76" s="4" t="str">
        <f>IF($B76="","",IFERROR(INDEX(DQAF_Input!$J$2:$J$170,MATCH(75,DQAF_Input!$AG$2:$AG$170,0)),""))</f>
        <v/>
      </c>
      <c r="F76" s="4" t="str">
        <f>IF($B76="","",IFERROR(INDEX(DQAF_Input!$L$2:$L$170,MATCH(75,DQAF_Input!$AG$2:$AG$170,0)),""))</f>
        <v/>
      </c>
    </row>
    <row r="77" spans="1:6" x14ac:dyDescent="0.25">
      <c r="A77" s="10" t="str">
        <f>IF($B77="","",IFERROR(INDEX(DQAF_Input!$P$2:$P$170,MATCH(76,DQAF_Input!$AG$2:$AG$170,0)),""))</f>
        <v/>
      </c>
      <c r="B77" s="10" t="str">
        <f>IFERROR(INDEX(DQAF_Input!$E$2:$E$170,MATCH(76,DQAF_Input!$AG$2:$AG$170,0)),"")</f>
        <v/>
      </c>
      <c r="C77" s="4" t="str">
        <f>IF($B77="","",IF(IFERROR(VLOOKUP($B77,__rbp_p!$A:$B,2,FALSE),"")&lt;&gt;"",IFERROR(VLOOKUP($B77,__rbp_p!$A:$B,2,FALSE),""),IFERROR(INDEX(DQAF_Input!$F$2:$F$170,MATCH(76,DQAF_Input!$AG$2:$AG$170,0)),"")))</f>
        <v/>
      </c>
      <c r="D77" s="4" t="str">
        <f>IF($B77="","",IFERROR(INDEX(DQAF_Input!$H$2:$H$170,MATCH(76,DQAF_Input!$AG$2:$AG$170,0)),""))</f>
        <v/>
      </c>
      <c r="E77" s="4" t="str">
        <f>IF($B77="","",IFERROR(INDEX(DQAF_Input!$J$2:$J$170,MATCH(76,DQAF_Input!$AG$2:$AG$170,0)),""))</f>
        <v/>
      </c>
      <c r="F77" s="4" t="str">
        <f>IF($B77="","",IFERROR(INDEX(DQAF_Input!$L$2:$L$170,MATCH(76,DQAF_Input!$AG$2:$AG$170,0)),""))</f>
        <v/>
      </c>
    </row>
    <row r="78" spans="1:6" x14ac:dyDescent="0.25">
      <c r="A78" s="10" t="str">
        <f>IF($B78="","",IFERROR(INDEX(DQAF_Input!$P$2:$P$170,MATCH(77,DQAF_Input!$AG$2:$AG$170,0)),""))</f>
        <v/>
      </c>
      <c r="B78" s="10" t="str">
        <f>IFERROR(INDEX(DQAF_Input!$E$2:$E$170,MATCH(77,DQAF_Input!$AG$2:$AG$170,0)),"")</f>
        <v/>
      </c>
      <c r="C78" s="4" t="str">
        <f>IF($B78="","",IF(IFERROR(VLOOKUP($B78,__rbp_p!$A:$B,2,FALSE),"")&lt;&gt;"",IFERROR(VLOOKUP($B78,__rbp_p!$A:$B,2,FALSE),""),IFERROR(INDEX(DQAF_Input!$F$2:$F$170,MATCH(77,DQAF_Input!$AG$2:$AG$170,0)),"")))</f>
        <v/>
      </c>
      <c r="D78" s="4" t="str">
        <f>IF($B78="","",IFERROR(INDEX(DQAF_Input!$H$2:$H$170,MATCH(77,DQAF_Input!$AG$2:$AG$170,0)),""))</f>
        <v/>
      </c>
      <c r="E78" s="4" t="str">
        <f>IF($B78="","",IFERROR(INDEX(DQAF_Input!$J$2:$J$170,MATCH(77,DQAF_Input!$AG$2:$AG$170,0)),""))</f>
        <v/>
      </c>
      <c r="F78" s="4" t="str">
        <f>IF($B78="","",IFERROR(INDEX(DQAF_Input!$L$2:$L$170,MATCH(77,DQAF_Input!$AG$2:$AG$170,0)),""))</f>
        <v/>
      </c>
    </row>
    <row r="79" spans="1:6" x14ac:dyDescent="0.25">
      <c r="A79" s="10" t="str">
        <f>IF($B79="","",IFERROR(INDEX(DQAF_Input!$P$2:$P$170,MATCH(78,DQAF_Input!$AG$2:$AG$170,0)),""))</f>
        <v/>
      </c>
      <c r="B79" s="10" t="str">
        <f>IFERROR(INDEX(DQAF_Input!$E$2:$E$170,MATCH(78,DQAF_Input!$AG$2:$AG$170,0)),"")</f>
        <v/>
      </c>
      <c r="C79" s="4" t="str">
        <f>IF($B79="","",IF(IFERROR(VLOOKUP($B79,__rbp_p!$A:$B,2,FALSE),"")&lt;&gt;"",IFERROR(VLOOKUP($B79,__rbp_p!$A:$B,2,FALSE),""),IFERROR(INDEX(DQAF_Input!$F$2:$F$170,MATCH(78,DQAF_Input!$AG$2:$AG$170,0)),"")))</f>
        <v/>
      </c>
      <c r="D79" s="4" t="str">
        <f>IF($B79="","",IFERROR(INDEX(DQAF_Input!$H$2:$H$170,MATCH(78,DQAF_Input!$AG$2:$AG$170,0)),""))</f>
        <v/>
      </c>
      <c r="E79" s="4" t="str">
        <f>IF($B79="","",IFERROR(INDEX(DQAF_Input!$J$2:$J$170,MATCH(78,DQAF_Input!$AG$2:$AG$170,0)),""))</f>
        <v/>
      </c>
      <c r="F79" s="4" t="str">
        <f>IF($B79="","",IFERROR(INDEX(DQAF_Input!$L$2:$L$170,MATCH(78,DQAF_Input!$AG$2:$AG$170,0)),""))</f>
        <v/>
      </c>
    </row>
    <row r="80" spans="1:6" x14ac:dyDescent="0.25">
      <c r="A80" s="10" t="str">
        <f>IF($B80="","",IFERROR(INDEX(DQAF_Input!$P$2:$P$170,MATCH(79,DQAF_Input!$AG$2:$AG$170,0)),""))</f>
        <v/>
      </c>
      <c r="B80" s="10" t="str">
        <f>IFERROR(INDEX(DQAF_Input!$E$2:$E$170,MATCH(79,DQAF_Input!$AG$2:$AG$170,0)),"")</f>
        <v/>
      </c>
      <c r="C80" s="4" t="str">
        <f>IF($B80="","",IF(IFERROR(VLOOKUP($B80,__rbp_p!$A:$B,2,FALSE),"")&lt;&gt;"",IFERROR(VLOOKUP($B80,__rbp_p!$A:$B,2,FALSE),""),IFERROR(INDEX(DQAF_Input!$F$2:$F$170,MATCH(79,DQAF_Input!$AG$2:$AG$170,0)),"")))</f>
        <v/>
      </c>
      <c r="D80" s="4" t="str">
        <f>IF($B80="","",IFERROR(INDEX(DQAF_Input!$H$2:$H$170,MATCH(79,DQAF_Input!$AG$2:$AG$170,0)),""))</f>
        <v/>
      </c>
      <c r="E80" s="4" t="str">
        <f>IF($B80="","",IFERROR(INDEX(DQAF_Input!$J$2:$J$170,MATCH(79,DQAF_Input!$AG$2:$AG$170,0)),""))</f>
        <v/>
      </c>
      <c r="F80" s="4" t="str">
        <f>IF($B80="","",IFERROR(INDEX(DQAF_Input!$L$2:$L$170,MATCH(79,DQAF_Input!$AG$2:$AG$170,0)),""))</f>
        <v/>
      </c>
    </row>
    <row r="81" spans="1:6" x14ac:dyDescent="0.25">
      <c r="A81" s="10" t="str">
        <f>IF($B81="","",IFERROR(INDEX(DQAF_Input!$P$2:$P$170,MATCH(80,DQAF_Input!$AG$2:$AG$170,0)),""))</f>
        <v/>
      </c>
      <c r="B81" s="10" t="str">
        <f>IFERROR(INDEX(DQAF_Input!$E$2:$E$170,MATCH(80,DQAF_Input!$AG$2:$AG$170,0)),"")</f>
        <v/>
      </c>
      <c r="C81" s="4" t="str">
        <f>IF($B81="","",IF(IFERROR(VLOOKUP($B81,__rbp_p!$A:$B,2,FALSE),"")&lt;&gt;"",IFERROR(VLOOKUP($B81,__rbp_p!$A:$B,2,FALSE),""),IFERROR(INDEX(DQAF_Input!$F$2:$F$170,MATCH(80,DQAF_Input!$AG$2:$AG$170,0)),"")))</f>
        <v/>
      </c>
      <c r="D81" s="4" t="str">
        <f>IF($B81="","",IFERROR(INDEX(DQAF_Input!$H$2:$H$170,MATCH(80,DQAF_Input!$AG$2:$AG$170,0)),""))</f>
        <v/>
      </c>
      <c r="E81" s="4" t="str">
        <f>IF($B81="","",IFERROR(INDEX(DQAF_Input!$J$2:$J$170,MATCH(80,DQAF_Input!$AG$2:$AG$170,0)),""))</f>
        <v/>
      </c>
      <c r="F81" s="4" t="str">
        <f>IF($B81="","",IFERROR(INDEX(DQAF_Input!$L$2:$L$170,MATCH(80,DQAF_Input!$AG$2:$AG$170,0)),""))</f>
        <v/>
      </c>
    </row>
    <row r="82" spans="1:6" x14ac:dyDescent="0.25">
      <c r="A82" s="10" t="str">
        <f>IF($B82="","",IFERROR(INDEX(DQAF_Input!$P$2:$P$170,MATCH(81,DQAF_Input!$AG$2:$AG$170,0)),""))</f>
        <v/>
      </c>
      <c r="B82" s="10" t="str">
        <f>IFERROR(INDEX(DQAF_Input!$E$2:$E$170,MATCH(81,DQAF_Input!$AG$2:$AG$170,0)),"")</f>
        <v/>
      </c>
      <c r="C82" s="4" t="str">
        <f>IF($B82="","",IF(IFERROR(VLOOKUP($B82,__rbp_p!$A:$B,2,FALSE),"")&lt;&gt;"",IFERROR(VLOOKUP($B82,__rbp_p!$A:$B,2,FALSE),""),IFERROR(INDEX(DQAF_Input!$F$2:$F$170,MATCH(81,DQAF_Input!$AG$2:$AG$170,0)),"")))</f>
        <v/>
      </c>
      <c r="D82" s="4" t="str">
        <f>IF($B82="","",IFERROR(INDEX(DQAF_Input!$H$2:$H$170,MATCH(81,DQAF_Input!$AG$2:$AG$170,0)),""))</f>
        <v/>
      </c>
      <c r="E82" s="4" t="str">
        <f>IF($B82="","",IFERROR(INDEX(DQAF_Input!$J$2:$J$170,MATCH(81,DQAF_Input!$AG$2:$AG$170,0)),""))</f>
        <v/>
      </c>
      <c r="F82" s="4" t="str">
        <f>IF($B82="","",IFERROR(INDEX(DQAF_Input!$L$2:$L$170,MATCH(81,DQAF_Input!$AG$2:$AG$170,0)),""))</f>
        <v/>
      </c>
    </row>
    <row r="83" spans="1:6" x14ac:dyDescent="0.25">
      <c r="A83" s="10" t="str">
        <f>IF($B83="","",IFERROR(INDEX(DQAF_Input!$P$2:$P$170,MATCH(82,DQAF_Input!$AG$2:$AG$170,0)),""))</f>
        <v/>
      </c>
      <c r="B83" s="10" t="str">
        <f>IFERROR(INDEX(DQAF_Input!$E$2:$E$170,MATCH(82,DQAF_Input!$AG$2:$AG$170,0)),"")</f>
        <v/>
      </c>
      <c r="C83" s="4" t="str">
        <f>IF($B83="","",IF(IFERROR(VLOOKUP($B83,__rbp_p!$A:$B,2,FALSE),"")&lt;&gt;"",IFERROR(VLOOKUP($B83,__rbp_p!$A:$B,2,FALSE),""),IFERROR(INDEX(DQAF_Input!$F$2:$F$170,MATCH(82,DQAF_Input!$AG$2:$AG$170,0)),"")))</f>
        <v/>
      </c>
      <c r="D83" s="4" t="str">
        <f>IF($B83="","",IFERROR(INDEX(DQAF_Input!$H$2:$H$170,MATCH(82,DQAF_Input!$AG$2:$AG$170,0)),""))</f>
        <v/>
      </c>
      <c r="E83" s="4" t="str">
        <f>IF($B83="","",IFERROR(INDEX(DQAF_Input!$J$2:$J$170,MATCH(82,DQAF_Input!$AG$2:$AG$170,0)),""))</f>
        <v/>
      </c>
      <c r="F83" s="4" t="str">
        <f>IF($B83="","",IFERROR(INDEX(DQAF_Input!$L$2:$L$170,MATCH(82,DQAF_Input!$AG$2:$AG$170,0)),""))</f>
        <v/>
      </c>
    </row>
    <row r="84" spans="1:6" x14ac:dyDescent="0.25">
      <c r="A84" s="10" t="str">
        <f>IF($B84="","",IFERROR(INDEX(DQAF_Input!$P$2:$P$170,MATCH(83,DQAF_Input!$AG$2:$AG$170,0)),""))</f>
        <v/>
      </c>
      <c r="B84" s="10" t="str">
        <f>IFERROR(INDEX(DQAF_Input!$E$2:$E$170,MATCH(83,DQAF_Input!$AG$2:$AG$170,0)),"")</f>
        <v/>
      </c>
      <c r="C84" s="4" t="str">
        <f>IF($B84="","",IF(IFERROR(VLOOKUP($B84,__rbp_p!$A:$B,2,FALSE),"")&lt;&gt;"",IFERROR(VLOOKUP($B84,__rbp_p!$A:$B,2,FALSE),""),IFERROR(INDEX(DQAF_Input!$F$2:$F$170,MATCH(83,DQAF_Input!$AG$2:$AG$170,0)),"")))</f>
        <v/>
      </c>
      <c r="D84" s="4" t="str">
        <f>IF($B84="","",IFERROR(INDEX(DQAF_Input!$H$2:$H$170,MATCH(83,DQAF_Input!$AG$2:$AG$170,0)),""))</f>
        <v/>
      </c>
      <c r="E84" s="4" t="str">
        <f>IF($B84="","",IFERROR(INDEX(DQAF_Input!$J$2:$J$170,MATCH(83,DQAF_Input!$AG$2:$AG$170,0)),""))</f>
        <v/>
      </c>
      <c r="F84" s="4" t="str">
        <f>IF($B84="","",IFERROR(INDEX(DQAF_Input!$L$2:$L$170,MATCH(83,DQAF_Input!$AG$2:$AG$170,0)),""))</f>
        <v/>
      </c>
    </row>
    <row r="85" spans="1:6" x14ac:dyDescent="0.25">
      <c r="A85" s="10" t="str">
        <f>IF($B85="","",IFERROR(INDEX(DQAF_Input!$P$2:$P$170,MATCH(84,DQAF_Input!$AG$2:$AG$170,0)),""))</f>
        <v/>
      </c>
      <c r="B85" s="10" t="str">
        <f>IFERROR(INDEX(DQAF_Input!$E$2:$E$170,MATCH(84,DQAF_Input!$AG$2:$AG$170,0)),"")</f>
        <v/>
      </c>
      <c r="C85" s="4" t="str">
        <f>IF($B85="","",IF(IFERROR(VLOOKUP($B85,__rbp_p!$A:$B,2,FALSE),"")&lt;&gt;"",IFERROR(VLOOKUP($B85,__rbp_p!$A:$B,2,FALSE),""),IFERROR(INDEX(DQAF_Input!$F$2:$F$170,MATCH(84,DQAF_Input!$AG$2:$AG$170,0)),"")))</f>
        <v/>
      </c>
      <c r="D85" s="4" t="str">
        <f>IF($B85="","",IFERROR(INDEX(DQAF_Input!$H$2:$H$170,MATCH(84,DQAF_Input!$AG$2:$AG$170,0)),""))</f>
        <v/>
      </c>
      <c r="E85" s="4" t="str">
        <f>IF($B85="","",IFERROR(INDEX(DQAF_Input!$J$2:$J$170,MATCH(84,DQAF_Input!$AG$2:$AG$170,0)),""))</f>
        <v/>
      </c>
      <c r="F85" s="4" t="str">
        <f>IF($B85="","",IFERROR(INDEX(DQAF_Input!$L$2:$L$170,MATCH(84,DQAF_Input!$AG$2:$AG$170,0)),""))</f>
        <v/>
      </c>
    </row>
    <row r="86" spans="1:6" x14ac:dyDescent="0.25">
      <c r="A86" s="10" t="str">
        <f>IF($B86="","",IFERROR(INDEX(DQAF_Input!$P$2:$P$170,MATCH(85,DQAF_Input!$AG$2:$AG$170,0)),""))</f>
        <v/>
      </c>
      <c r="B86" s="10" t="str">
        <f>IFERROR(INDEX(DQAF_Input!$E$2:$E$170,MATCH(85,DQAF_Input!$AG$2:$AG$170,0)),"")</f>
        <v/>
      </c>
      <c r="C86" s="4" t="str">
        <f>IF($B86="","",IF(IFERROR(VLOOKUP($B86,__rbp_p!$A:$B,2,FALSE),"")&lt;&gt;"",IFERROR(VLOOKUP($B86,__rbp_p!$A:$B,2,FALSE),""),IFERROR(INDEX(DQAF_Input!$F$2:$F$170,MATCH(85,DQAF_Input!$AG$2:$AG$170,0)),"")))</f>
        <v/>
      </c>
      <c r="D86" s="4" t="str">
        <f>IF($B86="","",IFERROR(INDEX(DQAF_Input!$H$2:$H$170,MATCH(85,DQAF_Input!$AG$2:$AG$170,0)),""))</f>
        <v/>
      </c>
      <c r="E86" s="4" t="str">
        <f>IF($B86="","",IFERROR(INDEX(DQAF_Input!$J$2:$J$170,MATCH(85,DQAF_Input!$AG$2:$AG$170,0)),""))</f>
        <v/>
      </c>
      <c r="F86" s="4" t="str">
        <f>IF($B86="","",IFERROR(INDEX(DQAF_Input!$L$2:$L$170,MATCH(85,DQAF_Input!$AG$2:$AG$170,0)),""))</f>
        <v/>
      </c>
    </row>
    <row r="87" spans="1:6" x14ac:dyDescent="0.25">
      <c r="A87" s="10" t="str">
        <f>IF($B87="","",IFERROR(INDEX(DQAF_Input!$P$2:$P$170,MATCH(86,DQAF_Input!$AG$2:$AG$170,0)),""))</f>
        <v/>
      </c>
      <c r="B87" s="10" t="str">
        <f>IFERROR(INDEX(DQAF_Input!$E$2:$E$170,MATCH(86,DQAF_Input!$AG$2:$AG$170,0)),"")</f>
        <v/>
      </c>
      <c r="C87" s="4" t="str">
        <f>IF($B87="","",IF(IFERROR(VLOOKUP($B87,__rbp_p!$A:$B,2,FALSE),"")&lt;&gt;"",IFERROR(VLOOKUP($B87,__rbp_p!$A:$B,2,FALSE),""),IFERROR(INDEX(DQAF_Input!$F$2:$F$170,MATCH(86,DQAF_Input!$AG$2:$AG$170,0)),"")))</f>
        <v/>
      </c>
      <c r="D87" s="4" t="str">
        <f>IF($B87="","",IFERROR(INDEX(DQAF_Input!$H$2:$H$170,MATCH(86,DQAF_Input!$AG$2:$AG$170,0)),""))</f>
        <v/>
      </c>
      <c r="E87" s="4" t="str">
        <f>IF($B87="","",IFERROR(INDEX(DQAF_Input!$J$2:$J$170,MATCH(86,DQAF_Input!$AG$2:$AG$170,0)),""))</f>
        <v/>
      </c>
      <c r="F87" s="4" t="str">
        <f>IF($B87="","",IFERROR(INDEX(DQAF_Input!$L$2:$L$170,MATCH(86,DQAF_Input!$AG$2:$AG$170,0)),""))</f>
        <v/>
      </c>
    </row>
    <row r="88" spans="1:6" x14ac:dyDescent="0.25">
      <c r="A88" s="10" t="str">
        <f>IF($B88="","",IFERROR(INDEX(DQAF_Input!$P$2:$P$170,MATCH(87,DQAF_Input!$AG$2:$AG$170,0)),""))</f>
        <v/>
      </c>
      <c r="B88" s="10" t="str">
        <f>IFERROR(INDEX(DQAF_Input!$E$2:$E$170,MATCH(87,DQAF_Input!$AG$2:$AG$170,0)),"")</f>
        <v/>
      </c>
      <c r="C88" s="4" t="str">
        <f>IF($B88="","",IF(IFERROR(VLOOKUP($B88,__rbp_p!$A:$B,2,FALSE),"")&lt;&gt;"",IFERROR(VLOOKUP($B88,__rbp_p!$A:$B,2,FALSE),""),IFERROR(INDEX(DQAF_Input!$F$2:$F$170,MATCH(87,DQAF_Input!$AG$2:$AG$170,0)),"")))</f>
        <v/>
      </c>
      <c r="D88" s="4" t="str">
        <f>IF($B88="","",IFERROR(INDEX(DQAF_Input!$H$2:$H$170,MATCH(87,DQAF_Input!$AG$2:$AG$170,0)),""))</f>
        <v/>
      </c>
      <c r="E88" s="4" t="str">
        <f>IF($B88="","",IFERROR(INDEX(DQAF_Input!$J$2:$J$170,MATCH(87,DQAF_Input!$AG$2:$AG$170,0)),""))</f>
        <v/>
      </c>
      <c r="F88" s="4" t="str">
        <f>IF($B88="","",IFERROR(INDEX(DQAF_Input!$L$2:$L$170,MATCH(87,DQAF_Input!$AG$2:$AG$170,0)),""))</f>
        <v/>
      </c>
    </row>
    <row r="89" spans="1:6" x14ac:dyDescent="0.25">
      <c r="A89" s="10" t="str">
        <f>IF($B89="","",IFERROR(INDEX(DQAF_Input!$P$2:$P$170,MATCH(88,DQAF_Input!$AG$2:$AG$170,0)),""))</f>
        <v/>
      </c>
      <c r="B89" s="10" t="str">
        <f>IFERROR(INDEX(DQAF_Input!$E$2:$E$170,MATCH(88,DQAF_Input!$AG$2:$AG$170,0)),"")</f>
        <v/>
      </c>
      <c r="C89" s="4" t="str">
        <f>IF($B89="","",IF(IFERROR(VLOOKUP($B89,__rbp_p!$A:$B,2,FALSE),"")&lt;&gt;"",IFERROR(VLOOKUP($B89,__rbp_p!$A:$B,2,FALSE),""),IFERROR(INDEX(DQAF_Input!$F$2:$F$170,MATCH(88,DQAF_Input!$AG$2:$AG$170,0)),"")))</f>
        <v/>
      </c>
      <c r="D89" s="4" t="str">
        <f>IF($B89="","",IFERROR(INDEX(DQAF_Input!$H$2:$H$170,MATCH(88,DQAF_Input!$AG$2:$AG$170,0)),""))</f>
        <v/>
      </c>
      <c r="E89" s="4" t="str">
        <f>IF($B89="","",IFERROR(INDEX(DQAF_Input!$J$2:$J$170,MATCH(88,DQAF_Input!$AG$2:$AG$170,0)),""))</f>
        <v/>
      </c>
      <c r="F89" s="4" t="str">
        <f>IF($B89="","",IFERROR(INDEX(DQAF_Input!$L$2:$L$170,MATCH(88,DQAF_Input!$AG$2:$AG$170,0)),""))</f>
        <v/>
      </c>
    </row>
    <row r="90" spans="1:6" x14ac:dyDescent="0.25">
      <c r="A90" s="10" t="str">
        <f>IF($B90="","",IFERROR(INDEX(DQAF_Input!$P$2:$P$170,MATCH(89,DQAF_Input!$AG$2:$AG$170,0)),""))</f>
        <v/>
      </c>
      <c r="B90" s="10" t="str">
        <f>IFERROR(INDEX(DQAF_Input!$E$2:$E$170,MATCH(89,DQAF_Input!$AG$2:$AG$170,0)),"")</f>
        <v/>
      </c>
      <c r="C90" s="4" t="str">
        <f>IF($B90="","",IF(IFERROR(VLOOKUP($B90,__rbp_p!$A:$B,2,FALSE),"")&lt;&gt;"",IFERROR(VLOOKUP($B90,__rbp_p!$A:$B,2,FALSE),""),IFERROR(INDEX(DQAF_Input!$F$2:$F$170,MATCH(89,DQAF_Input!$AG$2:$AG$170,0)),"")))</f>
        <v/>
      </c>
      <c r="D90" s="4" t="str">
        <f>IF($B90="","",IFERROR(INDEX(DQAF_Input!$H$2:$H$170,MATCH(89,DQAF_Input!$AG$2:$AG$170,0)),""))</f>
        <v/>
      </c>
      <c r="E90" s="4" t="str">
        <f>IF($B90="","",IFERROR(INDEX(DQAF_Input!$J$2:$J$170,MATCH(89,DQAF_Input!$AG$2:$AG$170,0)),""))</f>
        <v/>
      </c>
      <c r="F90" s="4" t="str">
        <f>IF($B90="","",IFERROR(INDEX(DQAF_Input!$L$2:$L$170,MATCH(89,DQAF_Input!$AG$2:$AG$170,0)),""))</f>
        <v/>
      </c>
    </row>
    <row r="91" spans="1:6" x14ac:dyDescent="0.25">
      <c r="A91" s="10" t="str">
        <f>IF($B91="","",IFERROR(INDEX(DQAF_Input!$P$2:$P$170,MATCH(90,DQAF_Input!$AG$2:$AG$170,0)),""))</f>
        <v/>
      </c>
      <c r="B91" s="10" t="str">
        <f>IFERROR(INDEX(DQAF_Input!$E$2:$E$170,MATCH(90,DQAF_Input!$AG$2:$AG$170,0)),"")</f>
        <v/>
      </c>
      <c r="C91" s="4" t="str">
        <f>IF($B91="","",IF(IFERROR(VLOOKUP($B91,__rbp_p!$A:$B,2,FALSE),"")&lt;&gt;"",IFERROR(VLOOKUP($B91,__rbp_p!$A:$B,2,FALSE),""),IFERROR(INDEX(DQAF_Input!$F$2:$F$170,MATCH(90,DQAF_Input!$AG$2:$AG$170,0)),"")))</f>
        <v/>
      </c>
      <c r="D91" s="4" t="str">
        <f>IF($B91="","",IFERROR(INDEX(DQAF_Input!$H$2:$H$170,MATCH(90,DQAF_Input!$AG$2:$AG$170,0)),""))</f>
        <v/>
      </c>
      <c r="E91" s="4" t="str">
        <f>IF($B91="","",IFERROR(INDEX(DQAF_Input!$J$2:$J$170,MATCH(90,DQAF_Input!$AG$2:$AG$170,0)),""))</f>
        <v/>
      </c>
      <c r="F91" s="4" t="str">
        <f>IF($B91="","",IFERROR(INDEX(DQAF_Input!$L$2:$L$170,MATCH(90,DQAF_Input!$AG$2:$AG$170,0)),""))</f>
        <v/>
      </c>
    </row>
    <row r="92" spans="1:6" x14ac:dyDescent="0.25">
      <c r="A92" s="10" t="str">
        <f>IF($B92="","",IFERROR(INDEX(DQAF_Input!$P$2:$P$170,MATCH(91,DQAF_Input!$AG$2:$AG$170,0)),""))</f>
        <v/>
      </c>
      <c r="B92" s="10" t="str">
        <f>IFERROR(INDEX(DQAF_Input!$E$2:$E$170,MATCH(91,DQAF_Input!$AG$2:$AG$170,0)),"")</f>
        <v/>
      </c>
      <c r="C92" s="4" t="str">
        <f>IF($B92="","",IF(IFERROR(VLOOKUP($B92,__rbp_p!$A:$B,2,FALSE),"")&lt;&gt;"",IFERROR(VLOOKUP($B92,__rbp_p!$A:$B,2,FALSE),""),IFERROR(INDEX(DQAF_Input!$F$2:$F$170,MATCH(91,DQAF_Input!$AG$2:$AG$170,0)),"")))</f>
        <v/>
      </c>
      <c r="D92" s="4" t="str">
        <f>IF($B92="","",IFERROR(INDEX(DQAF_Input!$H$2:$H$170,MATCH(91,DQAF_Input!$AG$2:$AG$170,0)),""))</f>
        <v/>
      </c>
      <c r="E92" s="4" t="str">
        <f>IF($B92="","",IFERROR(INDEX(DQAF_Input!$J$2:$J$170,MATCH(91,DQAF_Input!$AG$2:$AG$170,0)),""))</f>
        <v/>
      </c>
      <c r="F92" s="4" t="str">
        <f>IF($B92="","",IFERROR(INDEX(DQAF_Input!$L$2:$L$170,MATCH(91,DQAF_Input!$AG$2:$AG$170,0)),""))</f>
        <v/>
      </c>
    </row>
    <row r="93" spans="1:6" x14ac:dyDescent="0.25">
      <c r="A93" s="10" t="str">
        <f>IF($B93="","",IFERROR(INDEX(DQAF_Input!$P$2:$P$170,MATCH(92,DQAF_Input!$AG$2:$AG$170,0)),""))</f>
        <v/>
      </c>
      <c r="B93" s="10" t="str">
        <f>IFERROR(INDEX(DQAF_Input!$E$2:$E$170,MATCH(92,DQAF_Input!$AG$2:$AG$170,0)),"")</f>
        <v/>
      </c>
      <c r="C93" s="4" t="str">
        <f>IF($B93="","",IF(IFERROR(VLOOKUP($B93,__rbp_p!$A:$B,2,FALSE),"")&lt;&gt;"",IFERROR(VLOOKUP($B93,__rbp_p!$A:$B,2,FALSE),""),IFERROR(INDEX(DQAF_Input!$F$2:$F$170,MATCH(92,DQAF_Input!$AG$2:$AG$170,0)),"")))</f>
        <v/>
      </c>
      <c r="D93" s="4" t="str">
        <f>IF($B93="","",IFERROR(INDEX(DQAF_Input!$H$2:$H$170,MATCH(92,DQAF_Input!$AG$2:$AG$170,0)),""))</f>
        <v/>
      </c>
      <c r="E93" s="4" t="str">
        <f>IF($B93="","",IFERROR(INDEX(DQAF_Input!$J$2:$J$170,MATCH(92,DQAF_Input!$AG$2:$AG$170,0)),""))</f>
        <v/>
      </c>
      <c r="F93" s="4" t="str">
        <f>IF($B93="","",IFERROR(INDEX(DQAF_Input!$L$2:$L$170,MATCH(92,DQAF_Input!$AG$2:$AG$170,0)),""))</f>
        <v/>
      </c>
    </row>
    <row r="94" spans="1:6" x14ac:dyDescent="0.25">
      <c r="A94" s="10" t="str">
        <f>IF($B94="","",IFERROR(INDEX(DQAF_Input!$P$2:$P$170,MATCH(93,DQAF_Input!$AG$2:$AG$170,0)),""))</f>
        <v/>
      </c>
      <c r="B94" s="10" t="str">
        <f>IFERROR(INDEX(DQAF_Input!$E$2:$E$170,MATCH(93,DQAF_Input!$AG$2:$AG$170,0)),"")</f>
        <v/>
      </c>
      <c r="C94" s="4" t="str">
        <f>IF($B94="","",IF(IFERROR(VLOOKUP($B94,__rbp_p!$A:$B,2,FALSE),"")&lt;&gt;"",IFERROR(VLOOKUP($B94,__rbp_p!$A:$B,2,FALSE),""),IFERROR(INDEX(DQAF_Input!$F$2:$F$170,MATCH(93,DQAF_Input!$AG$2:$AG$170,0)),"")))</f>
        <v/>
      </c>
      <c r="D94" s="4" t="str">
        <f>IF($B94="","",IFERROR(INDEX(DQAF_Input!$H$2:$H$170,MATCH(93,DQAF_Input!$AG$2:$AG$170,0)),""))</f>
        <v/>
      </c>
      <c r="E94" s="4" t="str">
        <f>IF($B94="","",IFERROR(INDEX(DQAF_Input!$J$2:$J$170,MATCH(93,DQAF_Input!$AG$2:$AG$170,0)),""))</f>
        <v/>
      </c>
      <c r="F94" s="4" t="str">
        <f>IF($B94="","",IFERROR(INDEX(DQAF_Input!$L$2:$L$170,MATCH(93,DQAF_Input!$AG$2:$AG$170,0)),""))</f>
        <v/>
      </c>
    </row>
    <row r="95" spans="1:6" x14ac:dyDescent="0.25">
      <c r="A95" s="10" t="str">
        <f>IF($B95="","",IFERROR(INDEX(DQAF_Input!$P$2:$P$170,MATCH(94,DQAF_Input!$AG$2:$AG$170,0)),""))</f>
        <v/>
      </c>
      <c r="B95" s="10" t="str">
        <f>IFERROR(INDEX(DQAF_Input!$E$2:$E$170,MATCH(94,DQAF_Input!$AG$2:$AG$170,0)),"")</f>
        <v/>
      </c>
      <c r="C95" s="4" t="str">
        <f>IF($B95="","",IF(IFERROR(VLOOKUP($B95,__rbp_p!$A:$B,2,FALSE),"")&lt;&gt;"",IFERROR(VLOOKUP($B95,__rbp_p!$A:$B,2,FALSE),""),IFERROR(INDEX(DQAF_Input!$F$2:$F$170,MATCH(94,DQAF_Input!$AG$2:$AG$170,0)),"")))</f>
        <v/>
      </c>
      <c r="D95" s="4" t="str">
        <f>IF($B95="","",IFERROR(INDEX(DQAF_Input!$H$2:$H$170,MATCH(94,DQAF_Input!$AG$2:$AG$170,0)),""))</f>
        <v/>
      </c>
      <c r="E95" s="4" t="str">
        <f>IF($B95="","",IFERROR(INDEX(DQAF_Input!$J$2:$J$170,MATCH(94,DQAF_Input!$AG$2:$AG$170,0)),""))</f>
        <v/>
      </c>
      <c r="F95" s="4" t="str">
        <f>IF($B95="","",IFERROR(INDEX(DQAF_Input!$L$2:$L$170,MATCH(94,DQAF_Input!$AG$2:$AG$170,0)),""))</f>
        <v/>
      </c>
    </row>
    <row r="96" spans="1:6" x14ac:dyDescent="0.25">
      <c r="A96" s="10" t="str">
        <f>IF($B96="","",IFERROR(INDEX(DQAF_Input!$P$2:$P$170,MATCH(95,DQAF_Input!$AG$2:$AG$170,0)),""))</f>
        <v/>
      </c>
      <c r="B96" s="10" t="str">
        <f>IFERROR(INDEX(DQAF_Input!$E$2:$E$170,MATCH(95,DQAF_Input!$AG$2:$AG$170,0)),"")</f>
        <v/>
      </c>
      <c r="C96" s="4" t="str">
        <f>IF($B96="","",IF(IFERROR(VLOOKUP($B96,__rbp_p!$A:$B,2,FALSE),"")&lt;&gt;"",IFERROR(VLOOKUP($B96,__rbp_p!$A:$B,2,FALSE),""),IFERROR(INDEX(DQAF_Input!$F$2:$F$170,MATCH(95,DQAF_Input!$AG$2:$AG$170,0)),"")))</f>
        <v/>
      </c>
      <c r="D96" s="4" t="str">
        <f>IF($B96="","",IFERROR(INDEX(DQAF_Input!$H$2:$H$170,MATCH(95,DQAF_Input!$AG$2:$AG$170,0)),""))</f>
        <v/>
      </c>
      <c r="E96" s="4" t="str">
        <f>IF($B96="","",IFERROR(INDEX(DQAF_Input!$J$2:$J$170,MATCH(95,DQAF_Input!$AG$2:$AG$170,0)),""))</f>
        <v/>
      </c>
      <c r="F96" s="4" t="str">
        <f>IF($B96="","",IFERROR(INDEX(DQAF_Input!$L$2:$L$170,MATCH(95,DQAF_Input!$AG$2:$AG$170,0)),""))</f>
        <v/>
      </c>
    </row>
    <row r="97" spans="1:6" x14ac:dyDescent="0.25">
      <c r="A97" s="10" t="str">
        <f>IF($B97="","",IFERROR(INDEX(DQAF_Input!$P$2:$P$170,MATCH(96,DQAF_Input!$AG$2:$AG$170,0)),""))</f>
        <v/>
      </c>
      <c r="B97" s="10" t="str">
        <f>IFERROR(INDEX(DQAF_Input!$E$2:$E$170,MATCH(96,DQAF_Input!$AG$2:$AG$170,0)),"")</f>
        <v/>
      </c>
      <c r="C97" s="4" t="str">
        <f>IF($B97="","",IF(IFERROR(VLOOKUP($B97,__rbp_p!$A:$B,2,FALSE),"")&lt;&gt;"",IFERROR(VLOOKUP($B97,__rbp_p!$A:$B,2,FALSE),""),IFERROR(INDEX(DQAF_Input!$F$2:$F$170,MATCH(96,DQAF_Input!$AG$2:$AG$170,0)),"")))</f>
        <v/>
      </c>
      <c r="D97" s="4" t="str">
        <f>IF($B97="","",IFERROR(INDEX(DQAF_Input!$H$2:$H$170,MATCH(96,DQAF_Input!$AG$2:$AG$170,0)),""))</f>
        <v/>
      </c>
      <c r="E97" s="4" t="str">
        <f>IF($B97="","",IFERROR(INDEX(DQAF_Input!$J$2:$J$170,MATCH(96,DQAF_Input!$AG$2:$AG$170,0)),""))</f>
        <v/>
      </c>
      <c r="F97" s="4" t="str">
        <f>IF($B97="","",IFERROR(INDEX(DQAF_Input!$L$2:$L$170,MATCH(96,DQAF_Input!$AG$2:$AG$170,0)),""))</f>
        <v/>
      </c>
    </row>
    <row r="98" spans="1:6" x14ac:dyDescent="0.25">
      <c r="A98" s="10" t="str">
        <f>IF($B98="","",IFERROR(INDEX(DQAF_Input!$P$2:$P$170,MATCH(97,DQAF_Input!$AG$2:$AG$170,0)),""))</f>
        <v/>
      </c>
      <c r="B98" s="10" t="str">
        <f>IFERROR(INDEX(DQAF_Input!$E$2:$E$170,MATCH(97,DQAF_Input!$AG$2:$AG$170,0)),"")</f>
        <v/>
      </c>
      <c r="C98" s="4" t="str">
        <f>IF($B98="","",IF(IFERROR(VLOOKUP($B98,__rbp_p!$A:$B,2,FALSE),"")&lt;&gt;"",IFERROR(VLOOKUP($B98,__rbp_p!$A:$B,2,FALSE),""),IFERROR(INDEX(DQAF_Input!$F$2:$F$170,MATCH(97,DQAF_Input!$AG$2:$AG$170,0)),"")))</f>
        <v/>
      </c>
      <c r="D98" s="4" t="str">
        <f>IF($B98="","",IFERROR(INDEX(DQAF_Input!$H$2:$H$170,MATCH(97,DQAF_Input!$AG$2:$AG$170,0)),""))</f>
        <v/>
      </c>
      <c r="E98" s="4" t="str">
        <f>IF($B98="","",IFERROR(INDEX(DQAF_Input!$J$2:$J$170,MATCH(97,DQAF_Input!$AG$2:$AG$170,0)),""))</f>
        <v/>
      </c>
      <c r="F98" s="4" t="str">
        <f>IF($B98="","",IFERROR(INDEX(DQAF_Input!$L$2:$L$170,MATCH(97,DQAF_Input!$AG$2:$AG$170,0)),""))</f>
        <v/>
      </c>
    </row>
    <row r="99" spans="1:6" x14ac:dyDescent="0.25">
      <c r="A99" s="10" t="str">
        <f>IF($B99="","",IFERROR(INDEX(DQAF_Input!$P$2:$P$170,MATCH(98,DQAF_Input!$AG$2:$AG$170,0)),""))</f>
        <v/>
      </c>
      <c r="B99" s="10" t="str">
        <f>IFERROR(INDEX(DQAF_Input!$E$2:$E$170,MATCH(98,DQAF_Input!$AG$2:$AG$170,0)),"")</f>
        <v/>
      </c>
      <c r="C99" s="4" t="str">
        <f>IF($B99="","",IF(IFERROR(VLOOKUP($B99,__rbp_p!$A:$B,2,FALSE),"")&lt;&gt;"",IFERROR(VLOOKUP($B99,__rbp_p!$A:$B,2,FALSE),""),IFERROR(INDEX(DQAF_Input!$F$2:$F$170,MATCH(98,DQAF_Input!$AG$2:$AG$170,0)),"")))</f>
        <v/>
      </c>
      <c r="D99" s="4" t="str">
        <f>IF($B99="","",IFERROR(INDEX(DQAF_Input!$H$2:$H$170,MATCH(98,DQAF_Input!$AG$2:$AG$170,0)),""))</f>
        <v/>
      </c>
      <c r="E99" s="4" t="str">
        <f>IF($B99="","",IFERROR(INDEX(DQAF_Input!$J$2:$J$170,MATCH(98,DQAF_Input!$AG$2:$AG$170,0)),""))</f>
        <v/>
      </c>
      <c r="F99" s="4" t="str">
        <f>IF($B99="","",IFERROR(INDEX(DQAF_Input!$L$2:$L$170,MATCH(98,DQAF_Input!$AG$2:$AG$170,0)),""))</f>
        <v/>
      </c>
    </row>
    <row r="100" spans="1:6" x14ac:dyDescent="0.25">
      <c r="A100" s="10" t="str">
        <f>IF($B100="","",IFERROR(INDEX(DQAF_Input!$P$2:$P$170,MATCH(99,DQAF_Input!$AG$2:$AG$170,0)),""))</f>
        <v/>
      </c>
      <c r="B100" s="10" t="str">
        <f>IFERROR(INDEX(DQAF_Input!$E$2:$E$170,MATCH(99,DQAF_Input!$AG$2:$AG$170,0)),"")</f>
        <v/>
      </c>
      <c r="C100" s="4" t="str">
        <f>IF($B100="","",IF(IFERROR(VLOOKUP($B100,__rbp_p!$A:$B,2,FALSE),"")&lt;&gt;"",IFERROR(VLOOKUP($B100,__rbp_p!$A:$B,2,FALSE),""),IFERROR(INDEX(DQAF_Input!$F$2:$F$170,MATCH(99,DQAF_Input!$AG$2:$AG$170,0)),"")))</f>
        <v/>
      </c>
      <c r="D100" s="4" t="str">
        <f>IF($B100="","",IFERROR(INDEX(DQAF_Input!$H$2:$H$170,MATCH(99,DQAF_Input!$AG$2:$AG$170,0)),""))</f>
        <v/>
      </c>
      <c r="E100" s="4" t="str">
        <f>IF($B100="","",IFERROR(INDEX(DQAF_Input!$J$2:$J$170,MATCH(99,DQAF_Input!$AG$2:$AG$170,0)),""))</f>
        <v/>
      </c>
      <c r="F100" s="4" t="str">
        <f>IF($B100="","",IFERROR(INDEX(DQAF_Input!$L$2:$L$170,MATCH(99,DQAF_Input!$AG$2:$AG$170,0)),""))</f>
        <v/>
      </c>
    </row>
    <row r="101" spans="1:6" x14ac:dyDescent="0.25">
      <c r="A101" s="10" t="str">
        <f>IF($B101="","",IFERROR(INDEX(DQAF_Input!$P$2:$P$170,MATCH(100,DQAF_Input!$AG$2:$AG$170,0)),""))</f>
        <v/>
      </c>
      <c r="B101" s="10" t="str">
        <f>IFERROR(INDEX(DQAF_Input!$E$2:$E$170,MATCH(100,DQAF_Input!$AG$2:$AG$170,0)),"")</f>
        <v/>
      </c>
      <c r="C101" s="4" t="str">
        <f>IF($B101="","",IF(IFERROR(VLOOKUP($B101,__rbp_p!$A:$B,2,FALSE),"")&lt;&gt;"",IFERROR(VLOOKUP($B101,__rbp_p!$A:$B,2,FALSE),""),IFERROR(INDEX(DQAF_Input!$F$2:$F$170,MATCH(100,DQAF_Input!$AG$2:$AG$170,0)),"")))</f>
        <v/>
      </c>
      <c r="D101" s="4" t="str">
        <f>IF($B101="","",IFERROR(INDEX(DQAF_Input!$H$2:$H$170,MATCH(100,DQAF_Input!$AG$2:$AG$170,0)),""))</f>
        <v/>
      </c>
      <c r="E101" s="4" t="str">
        <f>IF($B101="","",IFERROR(INDEX(DQAF_Input!$J$2:$J$170,MATCH(100,DQAF_Input!$AG$2:$AG$170,0)),""))</f>
        <v/>
      </c>
      <c r="F101" s="4" t="str">
        <f>IF($B101="","",IFERROR(INDEX(DQAF_Input!$L$2:$L$170,MATCH(100,DQAF_Input!$AG$2:$AG$170,0)),""))</f>
        <v/>
      </c>
    </row>
    <row r="102" spans="1:6" x14ac:dyDescent="0.25">
      <c r="A102" s="10" t="str">
        <f>IF($B102="","",IFERROR(INDEX(DQAF_Input!$P$2:$P$170,MATCH(101,DQAF_Input!$AG$2:$AG$170,0)),""))</f>
        <v/>
      </c>
      <c r="B102" s="10" t="str">
        <f>IFERROR(INDEX(DQAF_Input!$E$2:$E$170,MATCH(101,DQAF_Input!$AG$2:$AG$170,0)),"")</f>
        <v/>
      </c>
      <c r="C102" s="4" t="str">
        <f>IF($B102="","",IF(IFERROR(VLOOKUP($B102,__rbp_p!$A:$B,2,FALSE),"")&lt;&gt;"",IFERROR(VLOOKUP($B102,__rbp_p!$A:$B,2,FALSE),""),IFERROR(INDEX(DQAF_Input!$F$2:$F$170,MATCH(101,DQAF_Input!$AG$2:$AG$170,0)),"")))</f>
        <v/>
      </c>
      <c r="D102" s="4" t="str">
        <f>IF($B102="","",IFERROR(INDEX(DQAF_Input!$H$2:$H$170,MATCH(101,DQAF_Input!$AG$2:$AG$170,0)),""))</f>
        <v/>
      </c>
      <c r="E102" s="4" t="str">
        <f>IF($B102="","",IFERROR(INDEX(DQAF_Input!$J$2:$J$170,MATCH(101,DQAF_Input!$AG$2:$AG$170,0)),""))</f>
        <v/>
      </c>
      <c r="F102" s="4" t="str">
        <f>IF($B102="","",IFERROR(INDEX(DQAF_Input!$L$2:$L$170,MATCH(101,DQAF_Input!$AG$2:$AG$170,0)),""))</f>
        <v/>
      </c>
    </row>
    <row r="103" spans="1:6" x14ac:dyDescent="0.25">
      <c r="A103" s="10" t="str">
        <f>IF($B103="","",IFERROR(INDEX(DQAF_Input!$P$2:$P$170,MATCH(102,DQAF_Input!$AG$2:$AG$170,0)),""))</f>
        <v/>
      </c>
      <c r="B103" s="10" t="str">
        <f>IFERROR(INDEX(DQAF_Input!$E$2:$E$170,MATCH(102,DQAF_Input!$AG$2:$AG$170,0)),"")</f>
        <v/>
      </c>
      <c r="C103" s="4" t="str">
        <f>IF($B103="","",IF(IFERROR(VLOOKUP($B103,__rbp_p!$A:$B,2,FALSE),"")&lt;&gt;"",IFERROR(VLOOKUP($B103,__rbp_p!$A:$B,2,FALSE),""),IFERROR(INDEX(DQAF_Input!$F$2:$F$170,MATCH(102,DQAF_Input!$AG$2:$AG$170,0)),"")))</f>
        <v/>
      </c>
      <c r="D103" s="4" t="str">
        <f>IF($B103="","",IFERROR(INDEX(DQAF_Input!$H$2:$H$170,MATCH(102,DQAF_Input!$AG$2:$AG$170,0)),""))</f>
        <v/>
      </c>
      <c r="E103" s="4" t="str">
        <f>IF($B103="","",IFERROR(INDEX(DQAF_Input!$J$2:$J$170,MATCH(102,DQAF_Input!$AG$2:$AG$170,0)),""))</f>
        <v/>
      </c>
      <c r="F103" s="4" t="str">
        <f>IF($B103="","",IFERROR(INDEX(DQAF_Input!$L$2:$L$170,MATCH(102,DQAF_Input!$AG$2:$AG$170,0)),""))</f>
        <v/>
      </c>
    </row>
    <row r="104" spans="1:6" x14ac:dyDescent="0.25">
      <c r="A104" s="10" t="str">
        <f>IF($B104="","",IFERROR(INDEX(DQAF_Input!$P$2:$P$170,MATCH(103,DQAF_Input!$AG$2:$AG$170,0)),""))</f>
        <v/>
      </c>
      <c r="B104" s="10" t="str">
        <f>IFERROR(INDEX(DQAF_Input!$E$2:$E$170,MATCH(103,DQAF_Input!$AG$2:$AG$170,0)),"")</f>
        <v/>
      </c>
      <c r="C104" s="4" t="str">
        <f>IF($B104="","",IF(IFERROR(VLOOKUP($B104,__rbp_p!$A:$B,2,FALSE),"")&lt;&gt;"",IFERROR(VLOOKUP($B104,__rbp_p!$A:$B,2,FALSE),""),IFERROR(INDEX(DQAF_Input!$F$2:$F$170,MATCH(103,DQAF_Input!$AG$2:$AG$170,0)),"")))</f>
        <v/>
      </c>
      <c r="D104" s="4" t="str">
        <f>IF($B104="","",IFERROR(INDEX(DQAF_Input!$H$2:$H$170,MATCH(103,DQAF_Input!$AG$2:$AG$170,0)),""))</f>
        <v/>
      </c>
      <c r="E104" s="4" t="str">
        <f>IF($B104="","",IFERROR(INDEX(DQAF_Input!$J$2:$J$170,MATCH(103,DQAF_Input!$AG$2:$AG$170,0)),""))</f>
        <v/>
      </c>
      <c r="F104" s="4" t="str">
        <f>IF($B104="","",IFERROR(INDEX(DQAF_Input!$L$2:$L$170,MATCH(103,DQAF_Input!$AG$2:$AG$170,0)),""))</f>
        <v/>
      </c>
    </row>
    <row r="105" spans="1:6" x14ac:dyDescent="0.25">
      <c r="A105" s="10" t="str">
        <f>IF($B105="","",IFERROR(INDEX(DQAF_Input!$P$2:$P$170,MATCH(104,DQAF_Input!$AG$2:$AG$170,0)),""))</f>
        <v/>
      </c>
      <c r="B105" s="10" t="str">
        <f>IFERROR(INDEX(DQAF_Input!$E$2:$E$170,MATCH(104,DQAF_Input!$AG$2:$AG$170,0)),"")</f>
        <v/>
      </c>
      <c r="C105" s="4" t="str">
        <f>IF($B105="","",IF(IFERROR(VLOOKUP($B105,__rbp_p!$A:$B,2,FALSE),"")&lt;&gt;"",IFERROR(VLOOKUP($B105,__rbp_p!$A:$B,2,FALSE),""),IFERROR(INDEX(DQAF_Input!$F$2:$F$170,MATCH(104,DQAF_Input!$AG$2:$AG$170,0)),"")))</f>
        <v/>
      </c>
      <c r="D105" s="4" t="str">
        <f>IF($B105="","",IFERROR(INDEX(DQAF_Input!$H$2:$H$170,MATCH(104,DQAF_Input!$AG$2:$AG$170,0)),""))</f>
        <v/>
      </c>
      <c r="E105" s="4" t="str">
        <f>IF($B105="","",IFERROR(INDEX(DQAF_Input!$J$2:$J$170,MATCH(104,DQAF_Input!$AG$2:$AG$170,0)),""))</f>
        <v/>
      </c>
      <c r="F105" s="4" t="str">
        <f>IF($B105="","",IFERROR(INDEX(DQAF_Input!$L$2:$L$170,MATCH(104,DQAF_Input!$AG$2:$AG$170,0)),""))</f>
        <v/>
      </c>
    </row>
    <row r="106" spans="1:6" x14ac:dyDescent="0.25">
      <c r="A106" s="10" t="str">
        <f>IF($B106="","",IFERROR(INDEX(DQAF_Input!$P$2:$P$170,MATCH(105,DQAF_Input!$AG$2:$AG$170,0)),""))</f>
        <v/>
      </c>
      <c r="B106" s="10" t="str">
        <f>IFERROR(INDEX(DQAF_Input!$E$2:$E$170,MATCH(105,DQAF_Input!$AG$2:$AG$170,0)),"")</f>
        <v/>
      </c>
      <c r="C106" s="4" t="str">
        <f>IF($B106="","",IF(IFERROR(VLOOKUP($B106,__rbp_p!$A:$B,2,FALSE),"")&lt;&gt;"",IFERROR(VLOOKUP($B106,__rbp_p!$A:$B,2,FALSE),""),IFERROR(INDEX(DQAF_Input!$F$2:$F$170,MATCH(105,DQAF_Input!$AG$2:$AG$170,0)),"")))</f>
        <v/>
      </c>
      <c r="D106" s="4" t="str">
        <f>IF($B106="","",IFERROR(INDEX(DQAF_Input!$H$2:$H$170,MATCH(105,DQAF_Input!$AG$2:$AG$170,0)),""))</f>
        <v/>
      </c>
      <c r="E106" s="4" t="str">
        <f>IF($B106="","",IFERROR(INDEX(DQAF_Input!$J$2:$J$170,MATCH(105,DQAF_Input!$AG$2:$AG$170,0)),""))</f>
        <v/>
      </c>
      <c r="F106" s="4" t="str">
        <f>IF($B106="","",IFERROR(INDEX(DQAF_Input!$L$2:$L$170,MATCH(105,DQAF_Input!$AG$2:$AG$170,0)),""))</f>
        <v/>
      </c>
    </row>
    <row r="107" spans="1:6" x14ac:dyDescent="0.25">
      <c r="A107" s="10" t="str">
        <f>IF($B107="","",IFERROR(INDEX(DQAF_Input!$P$2:$P$170,MATCH(106,DQAF_Input!$AG$2:$AG$170,0)),""))</f>
        <v/>
      </c>
      <c r="B107" s="10" t="str">
        <f>IFERROR(INDEX(DQAF_Input!$E$2:$E$170,MATCH(106,DQAF_Input!$AG$2:$AG$170,0)),"")</f>
        <v/>
      </c>
      <c r="C107" s="4" t="str">
        <f>IF($B107="","",IF(IFERROR(VLOOKUP($B107,__rbp_p!$A:$B,2,FALSE),"")&lt;&gt;"",IFERROR(VLOOKUP($B107,__rbp_p!$A:$B,2,FALSE),""),IFERROR(INDEX(DQAF_Input!$F$2:$F$170,MATCH(106,DQAF_Input!$AG$2:$AG$170,0)),"")))</f>
        <v/>
      </c>
      <c r="D107" s="4" t="str">
        <f>IF($B107="","",IFERROR(INDEX(DQAF_Input!$H$2:$H$170,MATCH(106,DQAF_Input!$AG$2:$AG$170,0)),""))</f>
        <v/>
      </c>
      <c r="E107" s="4" t="str">
        <f>IF($B107="","",IFERROR(INDEX(DQAF_Input!$J$2:$J$170,MATCH(106,DQAF_Input!$AG$2:$AG$170,0)),""))</f>
        <v/>
      </c>
      <c r="F107" s="4" t="str">
        <f>IF($B107="","",IFERROR(INDEX(DQAF_Input!$L$2:$L$170,MATCH(106,DQAF_Input!$AG$2:$AG$170,0)),""))</f>
        <v/>
      </c>
    </row>
    <row r="108" spans="1:6" x14ac:dyDescent="0.25">
      <c r="A108" s="10" t="str">
        <f>IF($B108="","",IFERROR(INDEX(DQAF_Input!$P$2:$P$170,MATCH(107,DQAF_Input!$AG$2:$AG$170,0)),""))</f>
        <v/>
      </c>
      <c r="B108" s="10" t="str">
        <f>IFERROR(INDEX(DQAF_Input!$E$2:$E$170,MATCH(107,DQAF_Input!$AG$2:$AG$170,0)),"")</f>
        <v/>
      </c>
      <c r="C108" s="4" t="str">
        <f>IF($B108="","",IF(IFERROR(VLOOKUP($B108,__rbp_p!$A:$B,2,FALSE),"")&lt;&gt;"",IFERROR(VLOOKUP($B108,__rbp_p!$A:$B,2,FALSE),""),IFERROR(INDEX(DQAF_Input!$F$2:$F$170,MATCH(107,DQAF_Input!$AG$2:$AG$170,0)),"")))</f>
        <v/>
      </c>
      <c r="D108" s="4" t="str">
        <f>IF($B108="","",IFERROR(INDEX(DQAF_Input!$H$2:$H$170,MATCH(107,DQAF_Input!$AG$2:$AG$170,0)),""))</f>
        <v/>
      </c>
      <c r="E108" s="4" t="str">
        <f>IF($B108="","",IFERROR(INDEX(DQAF_Input!$J$2:$J$170,MATCH(107,DQAF_Input!$AG$2:$AG$170,0)),""))</f>
        <v/>
      </c>
      <c r="F108" s="4" t="str">
        <f>IF($B108="","",IFERROR(INDEX(DQAF_Input!$L$2:$L$170,MATCH(107,DQAF_Input!$AG$2:$AG$170,0)),""))</f>
        <v/>
      </c>
    </row>
    <row r="109" spans="1:6" x14ac:dyDescent="0.25">
      <c r="A109" s="10" t="str">
        <f>IF($B109="","",IFERROR(INDEX(DQAF_Input!$P$2:$P$170,MATCH(108,DQAF_Input!$AG$2:$AG$170,0)),""))</f>
        <v/>
      </c>
      <c r="B109" s="10" t="str">
        <f>IFERROR(INDEX(DQAF_Input!$E$2:$E$170,MATCH(108,DQAF_Input!$AG$2:$AG$170,0)),"")</f>
        <v/>
      </c>
      <c r="C109" s="4" t="str">
        <f>IF($B109="","",IF(IFERROR(VLOOKUP($B109,__rbp_p!$A:$B,2,FALSE),"")&lt;&gt;"",IFERROR(VLOOKUP($B109,__rbp_p!$A:$B,2,FALSE),""),IFERROR(INDEX(DQAF_Input!$F$2:$F$170,MATCH(108,DQAF_Input!$AG$2:$AG$170,0)),"")))</f>
        <v/>
      </c>
      <c r="D109" s="4" t="str">
        <f>IF($B109="","",IFERROR(INDEX(DQAF_Input!$H$2:$H$170,MATCH(108,DQAF_Input!$AG$2:$AG$170,0)),""))</f>
        <v/>
      </c>
      <c r="E109" s="4" t="str">
        <f>IF($B109="","",IFERROR(INDEX(DQAF_Input!$J$2:$J$170,MATCH(108,DQAF_Input!$AG$2:$AG$170,0)),""))</f>
        <v/>
      </c>
      <c r="F109" s="4" t="str">
        <f>IF($B109="","",IFERROR(INDEX(DQAF_Input!$L$2:$L$170,MATCH(108,DQAF_Input!$AG$2:$AG$170,0)),""))</f>
        <v/>
      </c>
    </row>
    <row r="110" spans="1:6" x14ac:dyDescent="0.25">
      <c r="A110" s="10" t="str">
        <f>IF($B110="","",IFERROR(INDEX(DQAF_Input!$P$2:$P$170,MATCH(109,DQAF_Input!$AG$2:$AG$170,0)),""))</f>
        <v/>
      </c>
      <c r="B110" s="10" t="str">
        <f>IFERROR(INDEX(DQAF_Input!$E$2:$E$170,MATCH(109,DQAF_Input!$AG$2:$AG$170,0)),"")</f>
        <v/>
      </c>
      <c r="C110" s="4" t="str">
        <f>IF($B110="","",IF(IFERROR(VLOOKUP($B110,__rbp_p!$A:$B,2,FALSE),"")&lt;&gt;"",IFERROR(VLOOKUP($B110,__rbp_p!$A:$B,2,FALSE),""),IFERROR(INDEX(DQAF_Input!$F$2:$F$170,MATCH(109,DQAF_Input!$AG$2:$AG$170,0)),"")))</f>
        <v/>
      </c>
      <c r="D110" s="4" t="str">
        <f>IF($B110="","",IFERROR(INDEX(DQAF_Input!$H$2:$H$170,MATCH(109,DQAF_Input!$AG$2:$AG$170,0)),""))</f>
        <v/>
      </c>
      <c r="E110" s="4" t="str">
        <f>IF($B110="","",IFERROR(INDEX(DQAF_Input!$J$2:$J$170,MATCH(109,DQAF_Input!$AG$2:$AG$170,0)),""))</f>
        <v/>
      </c>
      <c r="F110" s="4" t="str">
        <f>IF($B110="","",IFERROR(INDEX(DQAF_Input!$L$2:$L$170,MATCH(109,DQAF_Input!$AG$2:$AG$170,0)),""))</f>
        <v/>
      </c>
    </row>
    <row r="111" spans="1:6" x14ac:dyDescent="0.25">
      <c r="A111" s="10" t="str">
        <f>IF($B111="","",IFERROR(INDEX(DQAF_Input!$P$2:$P$170,MATCH(110,DQAF_Input!$AG$2:$AG$170,0)),""))</f>
        <v/>
      </c>
      <c r="B111" s="10" t="str">
        <f>IFERROR(INDEX(DQAF_Input!$E$2:$E$170,MATCH(110,DQAF_Input!$AG$2:$AG$170,0)),"")</f>
        <v/>
      </c>
      <c r="C111" s="4" t="str">
        <f>IF($B111="","",IF(IFERROR(VLOOKUP($B111,__rbp_p!$A:$B,2,FALSE),"")&lt;&gt;"",IFERROR(VLOOKUP($B111,__rbp_p!$A:$B,2,FALSE),""),IFERROR(INDEX(DQAF_Input!$F$2:$F$170,MATCH(110,DQAF_Input!$AG$2:$AG$170,0)),"")))</f>
        <v/>
      </c>
      <c r="D111" s="4" t="str">
        <f>IF($B111="","",IFERROR(INDEX(DQAF_Input!$H$2:$H$170,MATCH(110,DQAF_Input!$AG$2:$AG$170,0)),""))</f>
        <v/>
      </c>
      <c r="E111" s="4" t="str">
        <f>IF($B111="","",IFERROR(INDEX(DQAF_Input!$J$2:$J$170,MATCH(110,DQAF_Input!$AG$2:$AG$170,0)),""))</f>
        <v/>
      </c>
      <c r="F111" s="4" t="str">
        <f>IF($B111="","",IFERROR(INDEX(DQAF_Input!$L$2:$L$170,MATCH(110,DQAF_Input!$AG$2:$AG$170,0)),""))</f>
        <v/>
      </c>
    </row>
    <row r="112" spans="1:6" x14ac:dyDescent="0.25">
      <c r="A112" s="10" t="str">
        <f>IF($B112="","",IFERROR(INDEX(DQAF_Input!$P$2:$P$170,MATCH(111,DQAF_Input!$AG$2:$AG$170,0)),""))</f>
        <v/>
      </c>
      <c r="B112" s="10" t="str">
        <f>IFERROR(INDEX(DQAF_Input!$E$2:$E$170,MATCH(111,DQAF_Input!$AG$2:$AG$170,0)),"")</f>
        <v/>
      </c>
      <c r="C112" s="4" t="str">
        <f>IF($B112="","",IF(IFERROR(VLOOKUP($B112,__rbp_p!$A:$B,2,FALSE),"")&lt;&gt;"",IFERROR(VLOOKUP($B112,__rbp_p!$A:$B,2,FALSE),""),IFERROR(INDEX(DQAF_Input!$F$2:$F$170,MATCH(111,DQAF_Input!$AG$2:$AG$170,0)),"")))</f>
        <v/>
      </c>
      <c r="D112" s="4" t="str">
        <f>IF($B112="","",IFERROR(INDEX(DQAF_Input!$H$2:$H$170,MATCH(111,DQAF_Input!$AG$2:$AG$170,0)),""))</f>
        <v/>
      </c>
      <c r="E112" s="4" t="str">
        <f>IF($B112="","",IFERROR(INDEX(DQAF_Input!$J$2:$J$170,MATCH(111,DQAF_Input!$AG$2:$AG$170,0)),""))</f>
        <v/>
      </c>
      <c r="F112" s="4" t="str">
        <f>IF($B112="","",IFERROR(INDEX(DQAF_Input!$L$2:$L$170,MATCH(111,DQAF_Input!$AG$2:$AG$170,0)),""))</f>
        <v/>
      </c>
    </row>
    <row r="113" spans="1:6" x14ac:dyDescent="0.25">
      <c r="A113" s="10" t="str">
        <f>IF($B113="","",IFERROR(INDEX(DQAF_Input!$P$2:$P$170,MATCH(112,DQAF_Input!$AG$2:$AG$170,0)),""))</f>
        <v/>
      </c>
      <c r="B113" s="10" t="str">
        <f>IFERROR(INDEX(DQAF_Input!$E$2:$E$170,MATCH(112,DQAF_Input!$AG$2:$AG$170,0)),"")</f>
        <v/>
      </c>
      <c r="C113" s="4" t="str">
        <f>IF($B113="","",IF(IFERROR(VLOOKUP($B113,__rbp_p!$A:$B,2,FALSE),"")&lt;&gt;"",IFERROR(VLOOKUP($B113,__rbp_p!$A:$B,2,FALSE),""),IFERROR(INDEX(DQAF_Input!$F$2:$F$170,MATCH(112,DQAF_Input!$AG$2:$AG$170,0)),"")))</f>
        <v/>
      </c>
      <c r="D113" s="4" t="str">
        <f>IF($B113="","",IFERROR(INDEX(DQAF_Input!$H$2:$H$170,MATCH(112,DQAF_Input!$AG$2:$AG$170,0)),""))</f>
        <v/>
      </c>
      <c r="E113" s="4" t="str">
        <f>IF($B113="","",IFERROR(INDEX(DQAF_Input!$J$2:$J$170,MATCH(112,DQAF_Input!$AG$2:$AG$170,0)),""))</f>
        <v/>
      </c>
      <c r="F113" s="4" t="str">
        <f>IF($B113="","",IFERROR(INDEX(DQAF_Input!$L$2:$L$170,MATCH(112,DQAF_Input!$AG$2:$AG$170,0)),""))</f>
        <v/>
      </c>
    </row>
    <row r="114" spans="1:6" x14ac:dyDescent="0.25">
      <c r="A114" s="10" t="str">
        <f>IF($B114="","",IFERROR(INDEX(DQAF_Input!$P$2:$P$170,MATCH(113,DQAF_Input!$AG$2:$AG$170,0)),""))</f>
        <v/>
      </c>
      <c r="B114" s="10" t="str">
        <f>IFERROR(INDEX(DQAF_Input!$E$2:$E$170,MATCH(113,DQAF_Input!$AG$2:$AG$170,0)),"")</f>
        <v/>
      </c>
      <c r="C114" s="4" t="str">
        <f>IF($B114="","",IF(IFERROR(VLOOKUP($B114,__rbp_p!$A:$B,2,FALSE),"")&lt;&gt;"",IFERROR(VLOOKUP($B114,__rbp_p!$A:$B,2,FALSE),""),IFERROR(INDEX(DQAF_Input!$F$2:$F$170,MATCH(113,DQAF_Input!$AG$2:$AG$170,0)),"")))</f>
        <v/>
      </c>
      <c r="D114" s="4" t="str">
        <f>IF($B114="","",IFERROR(INDEX(DQAF_Input!$H$2:$H$170,MATCH(113,DQAF_Input!$AG$2:$AG$170,0)),""))</f>
        <v/>
      </c>
      <c r="E114" s="4" t="str">
        <f>IF($B114="","",IFERROR(INDEX(DQAF_Input!$J$2:$J$170,MATCH(113,DQAF_Input!$AG$2:$AG$170,0)),""))</f>
        <v/>
      </c>
      <c r="F114" s="4" t="str">
        <f>IF($B114="","",IFERROR(INDEX(DQAF_Input!$L$2:$L$170,MATCH(113,DQAF_Input!$AG$2:$AG$170,0)),""))</f>
        <v/>
      </c>
    </row>
    <row r="115" spans="1:6" x14ac:dyDescent="0.25">
      <c r="A115" s="10" t="str">
        <f>IF($B115="","",IFERROR(INDEX(DQAF_Input!$P$2:$P$170,MATCH(114,DQAF_Input!$AG$2:$AG$170,0)),""))</f>
        <v/>
      </c>
      <c r="B115" s="10" t="str">
        <f>IFERROR(INDEX(DQAF_Input!$E$2:$E$170,MATCH(114,DQAF_Input!$AG$2:$AG$170,0)),"")</f>
        <v/>
      </c>
      <c r="C115" s="4" t="str">
        <f>IF($B115="","",IF(IFERROR(VLOOKUP($B115,__rbp_p!$A:$B,2,FALSE),"")&lt;&gt;"",IFERROR(VLOOKUP($B115,__rbp_p!$A:$B,2,FALSE),""),IFERROR(INDEX(DQAF_Input!$F$2:$F$170,MATCH(114,DQAF_Input!$AG$2:$AG$170,0)),"")))</f>
        <v/>
      </c>
      <c r="D115" s="4" t="str">
        <f>IF($B115="","",IFERROR(INDEX(DQAF_Input!$H$2:$H$170,MATCH(114,DQAF_Input!$AG$2:$AG$170,0)),""))</f>
        <v/>
      </c>
      <c r="E115" s="4" t="str">
        <f>IF($B115="","",IFERROR(INDEX(DQAF_Input!$J$2:$J$170,MATCH(114,DQAF_Input!$AG$2:$AG$170,0)),""))</f>
        <v/>
      </c>
      <c r="F115" s="4" t="str">
        <f>IF($B115="","",IFERROR(INDEX(DQAF_Input!$L$2:$L$170,MATCH(114,DQAF_Input!$AG$2:$AG$170,0)),""))</f>
        <v/>
      </c>
    </row>
    <row r="116" spans="1:6" x14ac:dyDescent="0.25">
      <c r="A116" s="10" t="str">
        <f>IF($B116="","",IFERROR(INDEX(DQAF_Input!$P$2:$P$170,MATCH(115,DQAF_Input!$AG$2:$AG$170,0)),""))</f>
        <v/>
      </c>
      <c r="B116" s="10" t="str">
        <f>IFERROR(INDEX(DQAF_Input!$E$2:$E$170,MATCH(115,DQAF_Input!$AG$2:$AG$170,0)),"")</f>
        <v/>
      </c>
      <c r="C116" s="4" t="str">
        <f>IF($B116="","",IF(IFERROR(VLOOKUP($B116,__rbp_p!$A:$B,2,FALSE),"")&lt;&gt;"",IFERROR(VLOOKUP($B116,__rbp_p!$A:$B,2,FALSE),""),IFERROR(INDEX(DQAF_Input!$F$2:$F$170,MATCH(115,DQAF_Input!$AG$2:$AG$170,0)),"")))</f>
        <v/>
      </c>
      <c r="D116" s="4" t="str">
        <f>IF($B116="","",IFERROR(INDEX(DQAF_Input!$H$2:$H$170,MATCH(115,DQAF_Input!$AG$2:$AG$170,0)),""))</f>
        <v/>
      </c>
      <c r="E116" s="4" t="str">
        <f>IF($B116="","",IFERROR(INDEX(DQAF_Input!$J$2:$J$170,MATCH(115,DQAF_Input!$AG$2:$AG$170,0)),""))</f>
        <v/>
      </c>
      <c r="F116" s="4" t="str">
        <f>IF($B116="","",IFERROR(INDEX(DQAF_Input!$L$2:$L$170,MATCH(115,DQAF_Input!$AG$2:$AG$170,0)),""))</f>
        <v/>
      </c>
    </row>
    <row r="117" spans="1:6" x14ac:dyDescent="0.25">
      <c r="A117" s="10" t="str">
        <f>IF($B117="","",IFERROR(INDEX(DQAF_Input!$P$2:$P$170,MATCH(116,DQAF_Input!$AG$2:$AG$170,0)),""))</f>
        <v/>
      </c>
      <c r="B117" s="10" t="str">
        <f>IFERROR(INDEX(DQAF_Input!$E$2:$E$170,MATCH(116,DQAF_Input!$AG$2:$AG$170,0)),"")</f>
        <v/>
      </c>
      <c r="C117" s="4" t="str">
        <f>IF($B117="","",IF(IFERROR(VLOOKUP($B117,__rbp_p!$A:$B,2,FALSE),"")&lt;&gt;"",IFERROR(VLOOKUP($B117,__rbp_p!$A:$B,2,FALSE),""),IFERROR(INDEX(DQAF_Input!$F$2:$F$170,MATCH(116,DQAF_Input!$AG$2:$AG$170,0)),"")))</f>
        <v/>
      </c>
      <c r="D117" s="4" t="str">
        <f>IF($B117="","",IFERROR(INDEX(DQAF_Input!$H$2:$H$170,MATCH(116,DQAF_Input!$AG$2:$AG$170,0)),""))</f>
        <v/>
      </c>
      <c r="E117" s="4" t="str">
        <f>IF($B117="","",IFERROR(INDEX(DQAF_Input!$J$2:$J$170,MATCH(116,DQAF_Input!$AG$2:$AG$170,0)),""))</f>
        <v/>
      </c>
      <c r="F117" s="4" t="str">
        <f>IF($B117="","",IFERROR(INDEX(DQAF_Input!$L$2:$L$170,MATCH(116,DQAF_Input!$AG$2:$AG$170,0)),""))</f>
        <v/>
      </c>
    </row>
    <row r="118" spans="1:6" x14ac:dyDescent="0.25">
      <c r="A118" s="10" t="str">
        <f>IF($B118="","",IFERROR(INDEX(DQAF_Input!$P$2:$P$170,MATCH(117,DQAF_Input!$AG$2:$AG$170,0)),""))</f>
        <v/>
      </c>
      <c r="B118" s="10" t="str">
        <f>IFERROR(INDEX(DQAF_Input!$E$2:$E$170,MATCH(117,DQAF_Input!$AG$2:$AG$170,0)),"")</f>
        <v/>
      </c>
      <c r="C118" s="4" t="str">
        <f>IF($B118="","",IF(IFERROR(VLOOKUP($B118,__rbp_p!$A:$B,2,FALSE),"")&lt;&gt;"",IFERROR(VLOOKUP($B118,__rbp_p!$A:$B,2,FALSE),""),IFERROR(INDEX(DQAF_Input!$F$2:$F$170,MATCH(117,DQAF_Input!$AG$2:$AG$170,0)),"")))</f>
        <v/>
      </c>
      <c r="D118" s="4" t="str">
        <f>IF($B118="","",IFERROR(INDEX(DQAF_Input!$H$2:$H$170,MATCH(117,DQAF_Input!$AG$2:$AG$170,0)),""))</f>
        <v/>
      </c>
      <c r="E118" s="4" t="str">
        <f>IF($B118="","",IFERROR(INDEX(DQAF_Input!$J$2:$J$170,MATCH(117,DQAF_Input!$AG$2:$AG$170,0)),""))</f>
        <v/>
      </c>
      <c r="F118" s="4" t="str">
        <f>IF($B118="","",IFERROR(INDEX(DQAF_Input!$L$2:$L$170,MATCH(117,DQAF_Input!$AG$2:$AG$170,0)),""))</f>
        <v/>
      </c>
    </row>
    <row r="119" spans="1:6" x14ac:dyDescent="0.25">
      <c r="A119" s="10" t="str">
        <f>IF($B119="","",IFERROR(INDEX(DQAF_Input!$P$2:$P$170,MATCH(118,DQAF_Input!$AG$2:$AG$170,0)),""))</f>
        <v/>
      </c>
      <c r="B119" s="10" t="str">
        <f>IFERROR(INDEX(DQAF_Input!$E$2:$E$170,MATCH(118,DQAF_Input!$AG$2:$AG$170,0)),"")</f>
        <v/>
      </c>
      <c r="C119" s="4" t="str">
        <f>IF($B119="","",IF(IFERROR(VLOOKUP($B119,__rbp_p!$A:$B,2,FALSE),"")&lt;&gt;"",IFERROR(VLOOKUP($B119,__rbp_p!$A:$B,2,FALSE),""),IFERROR(INDEX(DQAF_Input!$F$2:$F$170,MATCH(118,DQAF_Input!$AG$2:$AG$170,0)),"")))</f>
        <v/>
      </c>
      <c r="D119" s="4" t="str">
        <f>IF($B119="","",IFERROR(INDEX(DQAF_Input!$H$2:$H$170,MATCH(118,DQAF_Input!$AG$2:$AG$170,0)),""))</f>
        <v/>
      </c>
      <c r="E119" s="4" t="str">
        <f>IF($B119="","",IFERROR(INDEX(DQAF_Input!$J$2:$J$170,MATCH(118,DQAF_Input!$AG$2:$AG$170,0)),""))</f>
        <v/>
      </c>
      <c r="F119" s="4" t="str">
        <f>IF($B119="","",IFERROR(INDEX(DQAF_Input!$L$2:$L$170,MATCH(118,DQAF_Input!$AG$2:$AG$170,0)),""))</f>
        <v/>
      </c>
    </row>
    <row r="120" spans="1:6" x14ac:dyDescent="0.25">
      <c r="A120" s="10" t="str">
        <f>IF($B120="","",IFERROR(INDEX(DQAF_Input!$P$2:$P$170,MATCH(119,DQAF_Input!$AG$2:$AG$170,0)),""))</f>
        <v/>
      </c>
      <c r="B120" s="10" t="str">
        <f>IFERROR(INDEX(DQAF_Input!$E$2:$E$170,MATCH(119,DQAF_Input!$AG$2:$AG$170,0)),"")</f>
        <v/>
      </c>
      <c r="C120" s="4" t="str">
        <f>IF($B120="","",IF(IFERROR(VLOOKUP($B120,__rbp_p!$A:$B,2,FALSE),"")&lt;&gt;"",IFERROR(VLOOKUP($B120,__rbp_p!$A:$B,2,FALSE),""),IFERROR(INDEX(DQAF_Input!$F$2:$F$170,MATCH(119,DQAF_Input!$AG$2:$AG$170,0)),"")))</f>
        <v/>
      </c>
      <c r="D120" s="4" t="str">
        <f>IF($B120="","",IFERROR(INDEX(DQAF_Input!$H$2:$H$170,MATCH(119,DQAF_Input!$AG$2:$AG$170,0)),""))</f>
        <v/>
      </c>
      <c r="E120" s="4" t="str">
        <f>IF($B120="","",IFERROR(INDEX(DQAF_Input!$J$2:$J$170,MATCH(119,DQAF_Input!$AG$2:$AG$170,0)),""))</f>
        <v/>
      </c>
      <c r="F120" s="4" t="str">
        <f>IF($B120="","",IFERROR(INDEX(DQAF_Input!$L$2:$L$170,MATCH(119,DQAF_Input!$AG$2:$AG$170,0)),""))</f>
        <v/>
      </c>
    </row>
    <row r="121" spans="1:6" x14ac:dyDescent="0.25">
      <c r="A121" s="10" t="str">
        <f>IF($B121="","",IFERROR(INDEX(DQAF_Input!$P$2:$P$170,MATCH(120,DQAF_Input!$AG$2:$AG$170,0)),""))</f>
        <v/>
      </c>
      <c r="B121" s="10" t="str">
        <f>IFERROR(INDEX(DQAF_Input!$E$2:$E$170,MATCH(120,DQAF_Input!$AG$2:$AG$170,0)),"")</f>
        <v/>
      </c>
      <c r="C121" s="4" t="str">
        <f>IF($B121="","",IF(IFERROR(VLOOKUP($B121,__rbp_p!$A:$B,2,FALSE),"")&lt;&gt;"",IFERROR(VLOOKUP($B121,__rbp_p!$A:$B,2,FALSE),""),IFERROR(INDEX(DQAF_Input!$F$2:$F$170,MATCH(120,DQAF_Input!$AG$2:$AG$170,0)),"")))</f>
        <v/>
      </c>
      <c r="D121" s="4" t="str">
        <f>IF($B121="","",IFERROR(INDEX(DQAF_Input!$H$2:$H$170,MATCH(120,DQAF_Input!$AG$2:$AG$170,0)),""))</f>
        <v/>
      </c>
      <c r="E121" s="4" t="str">
        <f>IF($B121="","",IFERROR(INDEX(DQAF_Input!$J$2:$J$170,MATCH(120,DQAF_Input!$AG$2:$AG$170,0)),""))</f>
        <v/>
      </c>
      <c r="F121" s="4" t="str">
        <f>IF($B121="","",IFERROR(INDEX(DQAF_Input!$L$2:$L$170,MATCH(120,DQAF_Input!$AG$2:$AG$170,0)),""))</f>
        <v/>
      </c>
    </row>
    <row r="122" spans="1:6" x14ac:dyDescent="0.25">
      <c r="A122" s="10" t="str">
        <f>IF($B122="","",IFERROR(INDEX(DQAF_Input!$P$2:$P$170,MATCH(121,DQAF_Input!$AG$2:$AG$170,0)),""))</f>
        <v/>
      </c>
      <c r="B122" s="10" t="str">
        <f>IFERROR(INDEX(DQAF_Input!$E$2:$E$170,MATCH(121,DQAF_Input!$AG$2:$AG$170,0)),"")</f>
        <v/>
      </c>
      <c r="C122" s="4" t="str">
        <f>IF($B122="","",IF(IFERROR(VLOOKUP($B122,__rbp_p!$A:$B,2,FALSE),"")&lt;&gt;"",IFERROR(VLOOKUP($B122,__rbp_p!$A:$B,2,FALSE),""),IFERROR(INDEX(DQAF_Input!$F$2:$F$170,MATCH(121,DQAF_Input!$AG$2:$AG$170,0)),"")))</f>
        <v/>
      </c>
      <c r="D122" s="4" t="str">
        <f>IF($B122="","",IFERROR(INDEX(DQAF_Input!$H$2:$H$170,MATCH(121,DQAF_Input!$AG$2:$AG$170,0)),""))</f>
        <v/>
      </c>
      <c r="E122" s="4" t="str">
        <f>IF($B122="","",IFERROR(INDEX(DQAF_Input!$J$2:$J$170,MATCH(121,DQAF_Input!$AG$2:$AG$170,0)),""))</f>
        <v/>
      </c>
      <c r="F122" s="4" t="str">
        <f>IF($B122="","",IFERROR(INDEX(DQAF_Input!$L$2:$L$170,MATCH(121,DQAF_Input!$AG$2:$AG$170,0)),""))</f>
        <v/>
      </c>
    </row>
    <row r="123" spans="1:6" x14ac:dyDescent="0.25">
      <c r="A123" s="10" t="str">
        <f>IF($B123="","",IFERROR(INDEX(DQAF_Input!$P$2:$P$170,MATCH(122,DQAF_Input!$AG$2:$AG$170,0)),""))</f>
        <v/>
      </c>
      <c r="B123" s="10" t="str">
        <f>IFERROR(INDEX(DQAF_Input!$E$2:$E$170,MATCH(122,DQAF_Input!$AG$2:$AG$170,0)),"")</f>
        <v/>
      </c>
      <c r="C123" s="4" t="str">
        <f>IF($B123="","",IF(IFERROR(VLOOKUP($B123,__rbp_p!$A:$B,2,FALSE),"")&lt;&gt;"",IFERROR(VLOOKUP($B123,__rbp_p!$A:$B,2,FALSE),""),IFERROR(INDEX(DQAF_Input!$F$2:$F$170,MATCH(122,DQAF_Input!$AG$2:$AG$170,0)),"")))</f>
        <v/>
      </c>
      <c r="D123" s="4" t="str">
        <f>IF($B123="","",IFERROR(INDEX(DQAF_Input!$H$2:$H$170,MATCH(122,DQAF_Input!$AG$2:$AG$170,0)),""))</f>
        <v/>
      </c>
      <c r="E123" s="4" t="str">
        <f>IF($B123="","",IFERROR(INDEX(DQAF_Input!$J$2:$J$170,MATCH(122,DQAF_Input!$AG$2:$AG$170,0)),""))</f>
        <v/>
      </c>
      <c r="F123" s="4" t="str">
        <f>IF($B123="","",IFERROR(INDEX(DQAF_Input!$L$2:$L$170,MATCH(122,DQAF_Input!$AG$2:$AG$170,0)),""))</f>
        <v/>
      </c>
    </row>
    <row r="124" spans="1:6" x14ac:dyDescent="0.25">
      <c r="A124" s="10" t="str">
        <f>IF($B124="","",IFERROR(INDEX(DQAF_Input!$P$2:$P$170,MATCH(123,DQAF_Input!$AG$2:$AG$170,0)),""))</f>
        <v/>
      </c>
      <c r="B124" s="10" t="str">
        <f>IFERROR(INDEX(DQAF_Input!$E$2:$E$170,MATCH(123,DQAF_Input!$AG$2:$AG$170,0)),"")</f>
        <v/>
      </c>
      <c r="C124" s="4" t="str">
        <f>IF($B124="","",IF(IFERROR(VLOOKUP($B124,__rbp_p!$A:$B,2,FALSE),"")&lt;&gt;"",IFERROR(VLOOKUP($B124,__rbp_p!$A:$B,2,FALSE),""),IFERROR(INDEX(DQAF_Input!$F$2:$F$170,MATCH(123,DQAF_Input!$AG$2:$AG$170,0)),"")))</f>
        <v/>
      </c>
      <c r="D124" s="4" t="str">
        <f>IF($B124="","",IFERROR(INDEX(DQAF_Input!$H$2:$H$170,MATCH(123,DQAF_Input!$AG$2:$AG$170,0)),""))</f>
        <v/>
      </c>
      <c r="E124" s="4" t="str">
        <f>IF($B124="","",IFERROR(INDEX(DQAF_Input!$J$2:$J$170,MATCH(123,DQAF_Input!$AG$2:$AG$170,0)),""))</f>
        <v/>
      </c>
      <c r="F124" s="4" t="str">
        <f>IF($B124="","",IFERROR(INDEX(DQAF_Input!$L$2:$L$170,MATCH(123,DQAF_Input!$AG$2:$AG$170,0)),""))</f>
        <v/>
      </c>
    </row>
    <row r="125" spans="1:6" x14ac:dyDescent="0.25">
      <c r="A125" s="10" t="str">
        <f>IF($B125="","",IFERROR(INDEX(DQAF_Input!$P$2:$P$170,MATCH(124,DQAF_Input!$AG$2:$AG$170,0)),""))</f>
        <v/>
      </c>
      <c r="B125" s="10" t="str">
        <f>IFERROR(INDEX(DQAF_Input!$E$2:$E$170,MATCH(124,DQAF_Input!$AG$2:$AG$170,0)),"")</f>
        <v/>
      </c>
      <c r="C125" s="4" t="str">
        <f>IF($B125="","",IF(IFERROR(VLOOKUP($B125,__rbp_p!$A:$B,2,FALSE),"")&lt;&gt;"",IFERROR(VLOOKUP($B125,__rbp_p!$A:$B,2,FALSE),""),IFERROR(INDEX(DQAF_Input!$F$2:$F$170,MATCH(124,DQAF_Input!$AG$2:$AG$170,0)),"")))</f>
        <v/>
      </c>
      <c r="D125" s="4" t="str">
        <f>IF($B125="","",IFERROR(INDEX(DQAF_Input!$H$2:$H$170,MATCH(124,DQAF_Input!$AG$2:$AG$170,0)),""))</f>
        <v/>
      </c>
      <c r="E125" s="4" t="str">
        <f>IF($B125="","",IFERROR(INDEX(DQAF_Input!$J$2:$J$170,MATCH(124,DQAF_Input!$AG$2:$AG$170,0)),""))</f>
        <v/>
      </c>
      <c r="F125" s="4" t="str">
        <f>IF($B125="","",IFERROR(INDEX(DQAF_Input!$L$2:$L$170,MATCH(124,DQAF_Input!$AG$2:$AG$170,0)),""))</f>
        <v/>
      </c>
    </row>
    <row r="126" spans="1:6" x14ac:dyDescent="0.25">
      <c r="A126" s="10" t="str">
        <f>IF($B126="","",IFERROR(INDEX(DQAF_Input!$P$2:$P$170,MATCH(125,DQAF_Input!$AG$2:$AG$170,0)),""))</f>
        <v/>
      </c>
      <c r="B126" s="10" t="str">
        <f>IFERROR(INDEX(DQAF_Input!$E$2:$E$170,MATCH(125,DQAF_Input!$AG$2:$AG$170,0)),"")</f>
        <v/>
      </c>
      <c r="C126" s="4" t="str">
        <f>IF($B126="","",IF(IFERROR(VLOOKUP($B126,__rbp_p!$A:$B,2,FALSE),"")&lt;&gt;"",IFERROR(VLOOKUP($B126,__rbp_p!$A:$B,2,FALSE),""),IFERROR(INDEX(DQAF_Input!$F$2:$F$170,MATCH(125,DQAF_Input!$AG$2:$AG$170,0)),"")))</f>
        <v/>
      </c>
      <c r="D126" s="4" t="str">
        <f>IF($B126="","",IFERROR(INDEX(DQAF_Input!$H$2:$H$170,MATCH(125,DQAF_Input!$AG$2:$AG$170,0)),""))</f>
        <v/>
      </c>
      <c r="E126" s="4" t="str">
        <f>IF($B126="","",IFERROR(INDEX(DQAF_Input!$J$2:$J$170,MATCH(125,DQAF_Input!$AG$2:$AG$170,0)),""))</f>
        <v/>
      </c>
      <c r="F126" s="4" t="str">
        <f>IF($B126="","",IFERROR(INDEX(DQAF_Input!$L$2:$L$170,MATCH(125,DQAF_Input!$AG$2:$AG$170,0)),""))</f>
        <v/>
      </c>
    </row>
    <row r="127" spans="1:6" x14ac:dyDescent="0.25">
      <c r="A127" s="10" t="str">
        <f>IF($B127="","",IFERROR(INDEX(DQAF_Input!$P$2:$P$170,MATCH(126,DQAF_Input!$AG$2:$AG$170,0)),""))</f>
        <v/>
      </c>
      <c r="B127" s="10" t="str">
        <f>IFERROR(INDEX(DQAF_Input!$E$2:$E$170,MATCH(126,DQAF_Input!$AG$2:$AG$170,0)),"")</f>
        <v/>
      </c>
      <c r="C127" s="4" t="str">
        <f>IF($B127="","",IF(IFERROR(VLOOKUP($B127,__rbp_p!$A:$B,2,FALSE),"")&lt;&gt;"",IFERROR(VLOOKUP($B127,__rbp_p!$A:$B,2,FALSE),""),IFERROR(INDEX(DQAF_Input!$F$2:$F$170,MATCH(126,DQAF_Input!$AG$2:$AG$170,0)),"")))</f>
        <v/>
      </c>
      <c r="D127" s="4" t="str">
        <f>IF($B127="","",IFERROR(INDEX(DQAF_Input!$H$2:$H$170,MATCH(126,DQAF_Input!$AG$2:$AG$170,0)),""))</f>
        <v/>
      </c>
      <c r="E127" s="4" t="str">
        <f>IF($B127="","",IFERROR(INDEX(DQAF_Input!$J$2:$J$170,MATCH(126,DQAF_Input!$AG$2:$AG$170,0)),""))</f>
        <v/>
      </c>
      <c r="F127" s="4" t="str">
        <f>IF($B127="","",IFERROR(INDEX(DQAF_Input!$L$2:$L$170,MATCH(126,DQAF_Input!$AG$2:$AG$170,0)),""))</f>
        <v/>
      </c>
    </row>
    <row r="128" spans="1:6" x14ac:dyDescent="0.25">
      <c r="A128" s="10" t="str">
        <f>IF($B128="","",IFERROR(INDEX(DQAF_Input!$P$2:$P$170,MATCH(127,DQAF_Input!$AG$2:$AG$170,0)),""))</f>
        <v/>
      </c>
      <c r="B128" s="10" t="str">
        <f>IFERROR(INDEX(DQAF_Input!$E$2:$E$170,MATCH(127,DQAF_Input!$AG$2:$AG$170,0)),"")</f>
        <v/>
      </c>
      <c r="C128" s="4" t="str">
        <f>IF($B128="","",IF(IFERROR(VLOOKUP($B128,__rbp_p!$A:$B,2,FALSE),"")&lt;&gt;"",IFERROR(VLOOKUP($B128,__rbp_p!$A:$B,2,FALSE),""),IFERROR(INDEX(DQAF_Input!$F$2:$F$170,MATCH(127,DQAF_Input!$AG$2:$AG$170,0)),"")))</f>
        <v/>
      </c>
      <c r="D128" s="4" t="str">
        <f>IF($B128="","",IFERROR(INDEX(DQAF_Input!$H$2:$H$170,MATCH(127,DQAF_Input!$AG$2:$AG$170,0)),""))</f>
        <v/>
      </c>
      <c r="E128" s="4" t="str">
        <f>IF($B128="","",IFERROR(INDEX(DQAF_Input!$J$2:$J$170,MATCH(127,DQAF_Input!$AG$2:$AG$170,0)),""))</f>
        <v/>
      </c>
      <c r="F128" s="4" t="str">
        <f>IF($B128="","",IFERROR(INDEX(DQAF_Input!$L$2:$L$170,MATCH(127,DQAF_Input!$AG$2:$AG$170,0)),""))</f>
        <v/>
      </c>
    </row>
    <row r="129" spans="1:6" x14ac:dyDescent="0.25">
      <c r="A129" s="10" t="str">
        <f>IF($B129="","",IFERROR(INDEX(DQAF_Input!$P$2:$P$170,MATCH(128,DQAF_Input!$AG$2:$AG$170,0)),""))</f>
        <v/>
      </c>
      <c r="B129" s="10" t="str">
        <f>IFERROR(INDEX(DQAF_Input!$E$2:$E$170,MATCH(128,DQAF_Input!$AG$2:$AG$170,0)),"")</f>
        <v/>
      </c>
      <c r="C129" s="4" t="str">
        <f>IF($B129="","",IF(IFERROR(VLOOKUP($B129,__rbp_p!$A:$B,2,FALSE),"")&lt;&gt;"",IFERROR(VLOOKUP($B129,__rbp_p!$A:$B,2,FALSE),""),IFERROR(INDEX(DQAF_Input!$F$2:$F$170,MATCH(128,DQAF_Input!$AG$2:$AG$170,0)),"")))</f>
        <v/>
      </c>
      <c r="D129" s="4" t="str">
        <f>IF($B129="","",IFERROR(INDEX(DQAF_Input!$H$2:$H$170,MATCH(128,DQAF_Input!$AG$2:$AG$170,0)),""))</f>
        <v/>
      </c>
      <c r="E129" s="4" t="str">
        <f>IF($B129="","",IFERROR(INDEX(DQAF_Input!$J$2:$J$170,MATCH(128,DQAF_Input!$AG$2:$AG$170,0)),""))</f>
        <v/>
      </c>
      <c r="F129" s="4" t="str">
        <f>IF($B129="","",IFERROR(INDEX(DQAF_Input!$L$2:$L$170,MATCH(128,DQAF_Input!$AG$2:$AG$170,0)),""))</f>
        <v/>
      </c>
    </row>
    <row r="130" spans="1:6" x14ac:dyDescent="0.25">
      <c r="A130" s="10" t="str">
        <f>IF($B130="","",IFERROR(INDEX(DQAF_Input!$P$2:$P$170,MATCH(129,DQAF_Input!$AG$2:$AG$170,0)),""))</f>
        <v/>
      </c>
      <c r="B130" s="10" t="str">
        <f>IFERROR(INDEX(DQAF_Input!$E$2:$E$170,MATCH(129,DQAF_Input!$AG$2:$AG$170,0)),"")</f>
        <v/>
      </c>
      <c r="C130" s="4" t="str">
        <f>IF($B130="","",IF(IFERROR(VLOOKUP($B130,__rbp_p!$A:$B,2,FALSE),"")&lt;&gt;"",IFERROR(VLOOKUP($B130,__rbp_p!$A:$B,2,FALSE),""),IFERROR(INDEX(DQAF_Input!$F$2:$F$170,MATCH(129,DQAF_Input!$AG$2:$AG$170,0)),"")))</f>
        <v/>
      </c>
      <c r="D130" s="4" t="str">
        <f>IF($B130="","",IFERROR(INDEX(DQAF_Input!$H$2:$H$170,MATCH(129,DQAF_Input!$AG$2:$AG$170,0)),""))</f>
        <v/>
      </c>
      <c r="E130" s="4" t="str">
        <f>IF($B130="","",IFERROR(INDEX(DQAF_Input!$J$2:$J$170,MATCH(129,DQAF_Input!$AG$2:$AG$170,0)),""))</f>
        <v/>
      </c>
      <c r="F130" s="4" t="str">
        <f>IF($B130="","",IFERROR(INDEX(DQAF_Input!$L$2:$L$170,MATCH(129,DQAF_Input!$AG$2:$AG$170,0)),""))</f>
        <v/>
      </c>
    </row>
    <row r="131" spans="1:6" x14ac:dyDescent="0.25">
      <c r="A131" s="10" t="str">
        <f>IF($B131="","",IFERROR(INDEX(DQAF_Input!$P$2:$P$170,MATCH(130,DQAF_Input!$AG$2:$AG$170,0)),""))</f>
        <v/>
      </c>
      <c r="B131" s="10" t="str">
        <f>IFERROR(INDEX(DQAF_Input!$E$2:$E$170,MATCH(130,DQAF_Input!$AG$2:$AG$170,0)),"")</f>
        <v/>
      </c>
      <c r="C131" s="4" t="str">
        <f>IF($B131="","",IF(IFERROR(VLOOKUP($B131,__rbp_p!$A:$B,2,FALSE),"")&lt;&gt;"",IFERROR(VLOOKUP($B131,__rbp_p!$A:$B,2,FALSE),""),IFERROR(INDEX(DQAF_Input!$F$2:$F$170,MATCH(130,DQAF_Input!$AG$2:$AG$170,0)),"")))</f>
        <v/>
      </c>
      <c r="D131" s="4" t="str">
        <f>IF($B131="","",IFERROR(INDEX(DQAF_Input!$H$2:$H$170,MATCH(130,DQAF_Input!$AG$2:$AG$170,0)),""))</f>
        <v/>
      </c>
      <c r="E131" s="4" t="str">
        <f>IF($B131="","",IFERROR(INDEX(DQAF_Input!$J$2:$J$170,MATCH(130,DQAF_Input!$AG$2:$AG$170,0)),""))</f>
        <v/>
      </c>
      <c r="F131" s="4" t="str">
        <f>IF($B131="","",IFERROR(INDEX(DQAF_Input!$L$2:$L$170,MATCH(130,DQAF_Input!$AG$2:$AG$170,0)),""))</f>
        <v/>
      </c>
    </row>
    <row r="132" spans="1:6" x14ac:dyDescent="0.25">
      <c r="A132" s="10" t="str">
        <f>IF($B132="","",IFERROR(INDEX(DQAF_Input!$P$2:$P$170,MATCH(131,DQAF_Input!$AG$2:$AG$170,0)),""))</f>
        <v/>
      </c>
      <c r="B132" s="10" t="str">
        <f>IFERROR(INDEX(DQAF_Input!$E$2:$E$170,MATCH(131,DQAF_Input!$AG$2:$AG$170,0)),"")</f>
        <v/>
      </c>
      <c r="C132" s="4" t="str">
        <f>IF($B132="","",IF(IFERROR(VLOOKUP($B132,__rbp_p!$A:$B,2,FALSE),"")&lt;&gt;"",IFERROR(VLOOKUP($B132,__rbp_p!$A:$B,2,FALSE),""),IFERROR(INDEX(DQAF_Input!$F$2:$F$170,MATCH(131,DQAF_Input!$AG$2:$AG$170,0)),"")))</f>
        <v/>
      </c>
      <c r="D132" s="4" t="str">
        <f>IF($B132="","",IFERROR(INDEX(DQAF_Input!$H$2:$H$170,MATCH(131,DQAF_Input!$AG$2:$AG$170,0)),""))</f>
        <v/>
      </c>
      <c r="E132" s="4" t="str">
        <f>IF($B132="","",IFERROR(INDEX(DQAF_Input!$J$2:$J$170,MATCH(131,DQAF_Input!$AG$2:$AG$170,0)),""))</f>
        <v/>
      </c>
      <c r="F132" s="4" t="str">
        <f>IF($B132="","",IFERROR(INDEX(DQAF_Input!$L$2:$L$170,MATCH(131,DQAF_Input!$AG$2:$AG$170,0)),""))</f>
        <v/>
      </c>
    </row>
    <row r="133" spans="1:6" x14ac:dyDescent="0.25">
      <c r="A133" s="10" t="str">
        <f>IF($B133="","",IFERROR(INDEX(DQAF_Input!$P$2:$P$170,MATCH(132,DQAF_Input!$AG$2:$AG$170,0)),""))</f>
        <v/>
      </c>
      <c r="B133" s="10" t="str">
        <f>IFERROR(INDEX(DQAF_Input!$E$2:$E$170,MATCH(132,DQAF_Input!$AG$2:$AG$170,0)),"")</f>
        <v/>
      </c>
      <c r="C133" s="4" t="str">
        <f>IF($B133="","",IF(IFERROR(VLOOKUP($B133,__rbp_p!$A:$B,2,FALSE),"")&lt;&gt;"",IFERROR(VLOOKUP($B133,__rbp_p!$A:$B,2,FALSE),""),IFERROR(INDEX(DQAF_Input!$F$2:$F$170,MATCH(132,DQAF_Input!$AG$2:$AG$170,0)),"")))</f>
        <v/>
      </c>
      <c r="D133" s="4" t="str">
        <f>IF($B133="","",IFERROR(INDEX(DQAF_Input!$H$2:$H$170,MATCH(132,DQAF_Input!$AG$2:$AG$170,0)),""))</f>
        <v/>
      </c>
      <c r="E133" s="4" t="str">
        <f>IF($B133="","",IFERROR(INDEX(DQAF_Input!$J$2:$J$170,MATCH(132,DQAF_Input!$AG$2:$AG$170,0)),""))</f>
        <v/>
      </c>
      <c r="F133" s="4" t="str">
        <f>IF($B133="","",IFERROR(INDEX(DQAF_Input!$L$2:$L$170,MATCH(132,DQAF_Input!$AG$2:$AG$170,0)),""))</f>
        <v/>
      </c>
    </row>
    <row r="134" spans="1:6" x14ac:dyDescent="0.25">
      <c r="A134" s="10" t="str">
        <f>IF($B134="","",IFERROR(INDEX(DQAF_Input!$P$2:$P$170,MATCH(133,DQAF_Input!$AG$2:$AG$170,0)),""))</f>
        <v/>
      </c>
      <c r="B134" s="10" t="str">
        <f>IFERROR(INDEX(DQAF_Input!$E$2:$E$170,MATCH(133,DQAF_Input!$AG$2:$AG$170,0)),"")</f>
        <v/>
      </c>
      <c r="C134" s="4" t="str">
        <f>IF($B134="","",IF(IFERROR(VLOOKUP($B134,__rbp_p!$A:$B,2,FALSE),"")&lt;&gt;"",IFERROR(VLOOKUP($B134,__rbp_p!$A:$B,2,FALSE),""),IFERROR(INDEX(DQAF_Input!$F$2:$F$170,MATCH(133,DQAF_Input!$AG$2:$AG$170,0)),"")))</f>
        <v/>
      </c>
      <c r="D134" s="4" t="str">
        <f>IF($B134="","",IFERROR(INDEX(DQAF_Input!$H$2:$H$170,MATCH(133,DQAF_Input!$AG$2:$AG$170,0)),""))</f>
        <v/>
      </c>
      <c r="E134" s="4" t="str">
        <f>IF($B134="","",IFERROR(INDEX(DQAF_Input!$J$2:$J$170,MATCH(133,DQAF_Input!$AG$2:$AG$170,0)),""))</f>
        <v/>
      </c>
      <c r="F134" s="4" t="str">
        <f>IF($B134="","",IFERROR(INDEX(DQAF_Input!$L$2:$L$170,MATCH(133,DQAF_Input!$AG$2:$AG$170,0)),""))</f>
        <v/>
      </c>
    </row>
    <row r="135" spans="1:6" x14ac:dyDescent="0.25">
      <c r="A135" s="10" t="str">
        <f>IF($B135="","",IFERROR(INDEX(DQAF_Input!$P$2:$P$170,MATCH(134,DQAF_Input!$AG$2:$AG$170,0)),""))</f>
        <v/>
      </c>
      <c r="B135" s="10" t="str">
        <f>IFERROR(INDEX(DQAF_Input!$E$2:$E$170,MATCH(134,DQAF_Input!$AG$2:$AG$170,0)),"")</f>
        <v/>
      </c>
      <c r="C135" s="4" t="str">
        <f>IF($B135="","",IF(IFERROR(VLOOKUP($B135,__rbp_p!$A:$B,2,FALSE),"")&lt;&gt;"",IFERROR(VLOOKUP($B135,__rbp_p!$A:$B,2,FALSE),""),IFERROR(INDEX(DQAF_Input!$F$2:$F$170,MATCH(134,DQAF_Input!$AG$2:$AG$170,0)),"")))</f>
        <v/>
      </c>
      <c r="D135" s="4" t="str">
        <f>IF($B135="","",IFERROR(INDEX(DQAF_Input!$H$2:$H$170,MATCH(134,DQAF_Input!$AG$2:$AG$170,0)),""))</f>
        <v/>
      </c>
      <c r="E135" s="4" t="str">
        <f>IF($B135="","",IFERROR(INDEX(DQAF_Input!$J$2:$J$170,MATCH(134,DQAF_Input!$AG$2:$AG$170,0)),""))</f>
        <v/>
      </c>
      <c r="F135" s="4" t="str">
        <f>IF($B135="","",IFERROR(INDEX(DQAF_Input!$L$2:$L$170,MATCH(134,DQAF_Input!$AG$2:$AG$170,0)),""))</f>
        <v/>
      </c>
    </row>
    <row r="136" spans="1:6" x14ac:dyDescent="0.25">
      <c r="A136" s="10" t="str">
        <f>IF($B136="","",IFERROR(INDEX(DQAF_Input!$P$2:$P$170,MATCH(135,DQAF_Input!$AG$2:$AG$170,0)),""))</f>
        <v/>
      </c>
      <c r="B136" s="10" t="str">
        <f>IFERROR(INDEX(DQAF_Input!$E$2:$E$170,MATCH(135,DQAF_Input!$AG$2:$AG$170,0)),"")</f>
        <v/>
      </c>
      <c r="C136" s="4" t="str">
        <f>IF($B136="","",IF(IFERROR(VLOOKUP($B136,__rbp_p!$A:$B,2,FALSE),"")&lt;&gt;"",IFERROR(VLOOKUP($B136,__rbp_p!$A:$B,2,FALSE),""),IFERROR(INDEX(DQAF_Input!$F$2:$F$170,MATCH(135,DQAF_Input!$AG$2:$AG$170,0)),"")))</f>
        <v/>
      </c>
      <c r="D136" s="4" t="str">
        <f>IF($B136="","",IFERROR(INDEX(DQAF_Input!$H$2:$H$170,MATCH(135,DQAF_Input!$AG$2:$AG$170,0)),""))</f>
        <v/>
      </c>
      <c r="E136" s="4" t="str">
        <f>IF($B136="","",IFERROR(INDEX(DQAF_Input!$J$2:$J$170,MATCH(135,DQAF_Input!$AG$2:$AG$170,0)),""))</f>
        <v/>
      </c>
      <c r="F136" s="4" t="str">
        <f>IF($B136="","",IFERROR(INDEX(DQAF_Input!$L$2:$L$170,MATCH(135,DQAF_Input!$AG$2:$AG$170,0)),""))</f>
        <v/>
      </c>
    </row>
    <row r="137" spans="1:6" x14ac:dyDescent="0.25">
      <c r="A137" s="10" t="str">
        <f>IF($B137="","",IFERROR(INDEX(DQAF_Input!$P$2:$P$170,MATCH(136,DQAF_Input!$AG$2:$AG$170,0)),""))</f>
        <v/>
      </c>
      <c r="B137" s="10" t="str">
        <f>IFERROR(INDEX(DQAF_Input!$E$2:$E$170,MATCH(136,DQAF_Input!$AG$2:$AG$170,0)),"")</f>
        <v/>
      </c>
      <c r="C137" s="4" t="str">
        <f>IF($B137="","",IF(IFERROR(VLOOKUP($B137,__rbp_p!$A:$B,2,FALSE),"")&lt;&gt;"",IFERROR(VLOOKUP($B137,__rbp_p!$A:$B,2,FALSE),""),IFERROR(INDEX(DQAF_Input!$F$2:$F$170,MATCH(136,DQAF_Input!$AG$2:$AG$170,0)),"")))</f>
        <v/>
      </c>
      <c r="D137" s="4" t="str">
        <f>IF($B137="","",IFERROR(INDEX(DQAF_Input!$H$2:$H$170,MATCH(136,DQAF_Input!$AG$2:$AG$170,0)),""))</f>
        <v/>
      </c>
      <c r="E137" s="4" t="str">
        <f>IF($B137="","",IFERROR(INDEX(DQAF_Input!$J$2:$J$170,MATCH(136,DQAF_Input!$AG$2:$AG$170,0)),""))</f>
        <v/>
      </c>
      <c r="F137" s="4" t="str">
        <f>IF($B137="","",IFERROR(INDEX(DQAF_Input!$L$2:$L$170,MATCH(136,DQAF_Input!$AG$2:$AG$170,0)),""))</f>
        <v/>
      </c>
    </row>
    <row r="138" spans="1:6" x14ac:dyDescent="0.25">
      <c r="A138" s="10" t="str">
        <f>IF($B138="","",IFERROR(INDEX(DQAF_Input!$P$2:$P$170,MATCH(137,DQAF_Input!$AG$2:$AG$170,0)),""))</f>
        <v/>
      </c>
      <c r="B138" s="10" t="str">
        <f>IFERROR(INDEX(DQAF_Input!$E$2:$E$170,MATCH(137,DQAF_Input!$AG$2:$AG$170,0)),"")</f>
        <v/>
      </c>
      <c r="C138" s="4" t="str">
        <f>IF($B138="","",IF(IFERROR(VLOOKUP($B138,__rbp_p!$A:$B,2,FALSE),"")&lt;&gt;"",IFERROR(VLOOKUP($B138,__rbp_p!$A:$B,2,FALSE),""),IFERROR(INDEX(DQAF_Input!$F$2:$F$170,MATCH(137,DQAF_Input!$AG$2:$AG$170,0)),"")))</f>
        <v/>
      </c>
      <c r="D138" s="4" t="str">
        <f>IF($B138="","",IFERROR(INDEX(DQAF_Input!$H$2:$H$170,MATCH(137,DQAF_Input!$AG$2:$AG$170,0)),""))</f>
        <v/>
      </c>
      <c r="E138" s="4" t="str">
        <f>IF($B138="","",IFERROR(INDEX(DQAF_Input!$J$2:$J$170,MATCH(137,DQAF_Input!$AG$2:$AG$170,0)),""))</f>
        <v/>
      </c>
      <c r="F138" s="4" t="str">
        <f>IF($B138="","",IFERROR(INDEX(DQAF_Input!$L$2:$L$170,MATCH(137,DQAF_Input!$AG$2:$AG$170,0)),""))</f>
        <v/>
      </c>
    </row>
    <row r="139" spans="1:6" x14ac:dyDescent="0.25">
      <c r="A139" s="10" t="str">
        <f>IF($B139="","",IFERROR(INDEX(DQAF_Input!$P$2:$P$170,MATCH(138,DQAF_Input!$AG$2:$AG$170,0)),""))</f>
        <v/>
      </c>
      <c r="B139" s="10" t="str">
        <f>IFERROR(INDEX(DQAF_Input!$E$2:$E$170,MATCH(138,DQAF_Input!$AG$2:$AG$170,0)),"")</f>
        <v/>
      </c>
      <c r="C139" s="4" t="str">
        <f>IF($B139="","",IF(IFERROR(VLOOKUP($B139,__rbp_p!$A:$B,2,FALSE),"")&lt;&gt;"",IFERROR(VLOOKUP($B139,__rbp_p!$A:$B,2,FALSE),""),IFERROR(INDEX(DQAF_Input!$F$2:$F$170,MATCH(138,DQAF_Input!$AG$2:$AG$170,0)),"")))</f>
        <v/>
      </c>
      <c r="D139" s="4" t="str">
        <f>IF($B139="","",IFERROR(INDEX(DQAF_Input!$H$2:$H$170,MATCH(138,DQAF_Input!$AG$2:$AG$170,0)),""))</f>
        <v/>
      </c>
      <c r="E139" s="4" t="str">
        <f>IF($B139="","",IFERROR(INDEX(DQAF_Input!$J$2:$J$170,MATCH(138,DQAF_Input!$AG$2:$AG$170,0)),""))</f>
        <v/>
      </c>
      <c r="F139" s="4" t="str">
        <f>IF($B139="","",IFERROR(INDEX(DQAF_Input!$L$2:$L$170,MATCH(138,DQAF_Input!$AG$2:$AG$170,0)),""))</f>
        <v/>
      </c>
    </row>
    <row r="140" spans="1:6" x14ac:dyDescent="0.25">
      <c r="A140" s="10" t="str">
        <f>IF($B140="","",IFERROR(INDEX(DQAF_Input!$P$2:$P$170,MATCH(139,DQAF_Input!$AG$2:$AG$170,0)),""))</f>
        <v/>
      </c>
      <c r="B140" s="10" t="str">
        <f>IFERROR(INDEX(DQAF_Input!$E$2:$E$170,MATCH(139,DQAF_Input!$AG$2:$AG$170,0)),"")</f>
        <v/>
      </c>
      <c r="C140" s="4" t="str">
        <f>IF($B140="","",IF(IFERROR(VLOOKUP($B140,__rbp_p!$A:$B,2,FALSE),"")&lt;&gt;"",IFERROR(VLOOKUP($B140,__rbp_p!$A:$B,2,FALSE),""),IFERROR(INDEX(DQAF_Input!$F$2:$F$170,MATCH(139,DQAF_Input!$AG$2:$AG$170,0)),"")))</f>
        <v/>
      </c>
      <c r="D140" s="4" t="str">
        <f>IF($B140="","",IFERROR(INDEX(DQAF_Input!$H$2:$H$170,MATCH(139,DQAF_Input!$AG$2:$AG$170,0)),""))</f>
        <v/>
      </c>
      <c r="E140" s="4" t="str">
        <f>IF($B140="","",IFERROR(INDEX(DQAF_Input!$J$2:$J$170,MATCH(139,DQAF_Input!$AG$2:$AG$170,0)),""))</f>
        <v/>
      </c>
      <c r="F140" s="4" t="str">
        <f>IF($B140="","",IFERROR(INDEX(DQAF_Input!$L$2:$L$170,MATCH(139,DQAF_Input!$AG$2:$AG$170,0)),""))</f>
        <v/>
      </c>
    </row>
    <row r="141" spans="1:6" x14ac:dyDescent="0.25">
      <c r="A141" s="10" t="str">
        <f>IF($B141="","",IFERROR(INDEX(DQAF_Input!$P$2:$P$170,MATCH(140,DQAF_Input!$AG$2:$AG$170,0)),""))</f>
        <v/>
      </c>
      <c r="B141" s="10" t="str">
        <f>IFERROR(INDEX(DQAF_Input!$E$2:$E$170,MATCH(140,DQAF_Input!$AG$2:$AG$170,0)),"")</f>
        <v/>
      </c>
      <c r="C141" s="4" t="str">
        <f>IF($B141="","",IF(IFERROR(VLOOKUP($B141,__rbp_p!$A:$B,2,FALSE),"")&lt;&gt;"",IFERROR(VLOOKUP($B141,__rbp_p!$A:$B,2,FALSE),""),IFERROR(INDEX(DQAF_Input!$F$2:$F$170,MATCH(140,DQAF_Input!$AG$2:$AG$170,0)),"")))</f>
        <v/>
      </c>
      <c r="D141" s="4" t="str">
        <f>IF($B141="","",IFERROR(INDEX(DQAF_Input!$H$2:$H$170,MATCH(140,DQAF_Input!$AG$2:$AG$170,0)),""))</f>
        <v/>
      </c>
      <c r="E141" s="4" t="str">
        <f>IF($B141="","",IFERROR(INDEX(DQAF_Input!$J$2:$J$170,MATCH(140,DQAF_Input!$AG$2:$AG$170,0)),""))</f>
        <v/>
      </c>
      <c r="F141" s="4" t="str">
        <f>IF($B141="","",IFERROR(INDEX(DQAF_Input!$L$2:$L$170,MATCH(140,DQAF_Input!$AG$2:$AG$170,0)),""))</f>
        <v/>
      </c>
    </row>
    <row r="142" spans="1:6" x14ac:dyDescent="0.25">
      <c r="A142" s="10" t="str">
        <f>IF($B142="","",IFERROR(INDEX(DQAF_Input!$P$2:$P$170,MATCH(141,DQAF_Input!$AG$2:$AG$170,0)),""))</f>
        <v/>
      </c>
      <c r="B142" s="10" t="str">
        <f>IFERROR(INDEX(DQAF_Input!$E$2:$E$170,MATCH(141,DQAF_Input!$AG$2:$AG$170,0)),"")</f>
        <v/>
      </c>
      <c r="C142" s="4" t="str">
        <f>IF($B142="","",IF(IFERROR(VLOOKUP($B142,__rbp_p!$A:$B,2,FALSE),"")&lt;&gt;"",IFERROR(VLOOKUP($B142,__rbp_p!$A:$B,2,FALSE),""),IFERROR(INDEX(DQAF_Input!$F$2:$F$170,MATCH(141,DQAF_Input!$AG$2:$AG$170,0)),"")))</f>
        <v/>
      </c>
      <c r="D142" s="4" t="str">
        <f>IF($B142="","",IFERROR(INDEX(DQAF_Input!$H$2:$H$170,MATCH(141,DQAF_Input!$AG$2:$AG$170,0)),""))</f>
        <v/>
      </c>
      <c r="E142" s="4" t="str">
        <f>IF($B142="","",IFERROR(INDEX(DQAF_Input!$J$2:$J$170,MATCH(141,DQAF_Input!$AG$2:$AG$170,0)),""))</f>
        <v/>
      </c>
      <c r="F142" s="4" t="str">
        <f>IF($B142="","",IFERROR(INDEX(DQAF_Input!$L$2:$L$170,MATCH(141,DQAF_Input!$AG$2:$AG$170,0)),""))</f>
        <v/>
      </c>
    </row>
    <row r="143" spans="1:6" x14ac:dyDescent="0.25">
      <c r="A143" s="10" t="str">
        <f>IF($B143="","",IFERROR(INDEX(DQAF_Input!$P$2:$P$170,MATCH(142,DQAF_Input!$AG$2:$AG$170,0)),""))</f>
        <v/>
      </c>
      <c r="B143" s="10" t="str">
        <f>IFERROR(INDEX(DQAF_Input!$E$2:$E$170,MATCH(142,DQAF_Input!$AG$2:$AG$170,0)),"")</f>
        <v/>
      </c>
      <c r="C143" s="4" t="str">
        <f>IF($B143="","",IF(IFERROR(VLOOKUP($B143,__rbp_p!$A:$B,2,FALSE),"")&lt;&gt;"",IFERROR(VLOOKUP($B143,__rbp_p!$A:$B,2,FALSE),""),IFERROR(INDEX(DQAF_Input!$F$2:$F$170,MATCH(142,DQAF_Input!$AG$2:$AG$170,0)),"")))</f>
        <v/>
      </c>
      <c r="D143" s="4" t="str">
        <f>IF($B143="","",IFERROR(INDEX(DQAF_Input!$H$2:$H$170,MATCH(142,DQAF_Input!$AG$2:$AG$170,0)),""))</f>
        <v/>
      </c>
      <c r="E143" s="4" t="str">
        <f>IF($B143="","",IFERROR(INDEX(DQAF_Input!$J$2:$J$170,MATCH(142,DQAF_Input!$AG$2:$AG$170,0)),""))</f>
        <v/>
      </c>
      <c r="F143" s="4" t="str">
        <f>IF($B143="","",IFERROR(INDEX(DQAF_Input!$L$2:$L$170,MATCH(142,DQAF_Input!$AG$2:$AG$170,0)),""))</f>
        <v/>
      </c>
    </row>
    <row r="144" spans="1:6" x14ac:dyDescent="0.25">
      <c r="A144" s="10" t="str">
        <f>IF($B144="","",IFERROR(INDEX(DQAF_Input!$P$2:$P$170,MATCH(143,DQAF_Input!$AG$2:$AG$170,0)),""))</f>
        <v/>
      </c>
      <c r="B144" s="10" t="str">
        <f>IFERROR(INDEX(DQAF_Input!$E$2:$E$170,MATCH(143,DQAF_Input!$AG$2:$AG$170,0)),"")</f>
        <v/>
      </c>
      <c r="C144" s="4" t="str">
        <f>IF($B144="","",IF(IFERROR(VLOOKUP($B144,__rbp_p!$A:$B,2,FALSE),"")&lt;&gt;"",IFERROR(VLOOKUP($B144,__rbp_p!$A:$B,2,FALSE),""),IFERROR(INDEX(DQAF_Input!$F$2:$F$170,MATCH(143,DQAF_Input!$AG$2:$AG$170,0)),"")))</f>
        <v/>
      </c>
      <c r="D144" s="4" t="str">
        <f>IF($B144="","",IFERROR(INDEX(DQAF_Input!$H$2:$H$170,MATCH(143,DQAF_Input!$AG$2:$AG$170,0)),""))</f>
        <v/>
      </c>
      <c r="E144" s="4" t="str">
        <f>IF($B144="","",IFERROR(INDEX(DQAF_Input!$J$2:$J$170,MATCH(143,DQAF_Input!$AG$2:$AG$170,0)),""))</f>
        <v/>
      </c>
      <c r="F144" s="4" t="str">
        <f>IF($B144="","",IFERROR(INDEX(DQAF_Input!$L$2:$L$170,MATCH(143,DQAF_Input!$AG$2:$AG$170,0)),""))</f>
        <v/>
      </c>
    </row>
    <row r="145" spans="1:6" x14ac:dyDescent="0.25">
      <c r="A145" s="10" t="str">
        <f>IF($B145="","",IFERROR(INDEX(DQAF_Input!$P$2:$P$170,MATCH(144,DQAF_Input!$AG$2:$AG$170,0)),""))</f>
        <v/>
      </c>
      <c r="B145" s="10" t="str">
        <f>IFERROR(INDEX(DQAF_Input!$E$2:$E$170,MATCH(144,DQAF_Input!$AG$2:$AG$170,0)),"")</f>
        <v/>
      </c>
      <c r="C145" s="4" t="str">
        <f>IF($B145="","",IF(IFERROR(VLOOKUP($B145,__rbp_p!$A:$B,2,FALSE),"")&lt;&gt;"",IFERROR(VLOOKUP($B145,__rbp_p!$A:$B,2,FALSE),""),IFERROR(INDEX(DQAF_Input!$F$2:$F$170,MATCH(144,DQAF_Input!$AG$2:$AG$170,0)),"")))</f>
        <v/>
      </c>
      <c r="D145" s="4" t="str">
        <f>IF($B145="","",IFERROR(INDEX(DQAF_Input!$H$2:$H$170,MATCH(144,DQAF_Input!$AG$2:$AG$170,0)),""))</f>
        <v/>
      </c>
      <c r="E145" s="4" t="str">
        <f>IF($B145="","",IFERROR(INDEX(DQAF_Input!$J$2:$J$170,MATCH(144,DQAF_Input!$AG$2:$AG$170,0)),""))</f>
        <v/>
      </c>
      <c r="F145" s="4" t="str">
        <f>IF($B145="","",IFERROR(INDEX(DQAF_Input!$L$2:$L$170,MATCH(144,DQAF_Input!$AG$2:$AG$170,0)),""))</f>
        <v/>
      </c>
    </row>
    <row r="146" spans="1:6" x14ac:dyDescent="0.25">
      <c r="A146" s="10" t="str">
        <f>IF($B146="","",IFERROR(INDEX(DQAF_Input!$P$2:$P$170,MATCH(145,DQAF_Input!$AG$2:$AG$170,0)),""))</f>
        <v/>
      </c>
      <c r="B146" s="10" t="str">
        <f>IFERROR(INDEX(DQAF_Input!$E$2:$E$170,MATCH(145,DQAF_Input!$AG$2:$AG$170,0)),"")</f>
        <v/>
      </c>
      <c r="C146" s="4" t="str">
        <f>IF($B146="","",IF(IFERROR(VLOOKUP($B146,__rbp_p!$A:$B,2,FALSE),"")&lt;&gt;"",IFERROR(VLOOKUP($B146,__rbp_p!$A:$B,2,FALSE),""),IFERROR(INDEX(DQAF_Input!$F$2:$F$170,MATCH(145,DQAF_Input!$AG$2:$AG$170,0)),"")))</f>
        <v/>
      </c>
      <c r="D146" s="4" t="str">
        <f>IF($B146="","",IFERROR(INDEX(DQAF_Input!$H$2:$H$170,MATCH(145,DQAF_Input!$AG$2:$AG$170,0)),""))</f>
        <v/>
      </c>
      <c r="E146" s="4" t="str">
        <f>IF($B146="","",IFERROR(INDEX(DQAF_Input!$J$2:$J$170,MATCH(145,DQAF_Input!$AG$2:$AG$170,0)),""))</f>
        <v/>
      </c>
      <c r="F146" s="4" t="str">
        <f>IF($B146="","",IFERROR(INDEX(DQAF_Input!$L$2:$L$170,MATCH(145,DQAF_Input!$AG$2:$AG$170,0)),""))</f>
        <v/>
      </c>
    </row>
    <row r="147" spans="1:6" x14ac:dyDescent="0.25">
      <c r="A147" s="10" t="str">
        <f>IF($B147="","",IFERROR(INDEX(DQAF_Input!$P$2:$P$170,MATCH(146,DQAF_Input!$AG$2:$AG$170,0)),""))</f>
        <v/>
      </c>
      <c r="B147" s="10" t="str">
        <f>IFERROR(INDEX(DQAF_Input!$E$2:$E$170,MATCH(146,DQAF_Input!$AG$2:$AG$170,0)),"")</f>
        <v/>
      </c>
      <c r="C147" s="4" t="str">
        <f>IF($B147="","",IF(IFERROR(VLOOKUP($B147,__rbp_p!$A:$B,2,FALSE),"")&lt;&gt;"",IFERROR(VLOOKUP($B147,__rbp_p!$A:$B,2,FALSE),""),IFERROR(INDEX(DQAF_Input!$F$2:$F$170,MATCH(146,DQAF_Input!$AG$2:$AG$170,0)),"")))</f>
        <v/>
      </c>
      <c r="D147" s="4" t="str">
        <f>IF($B147="","",IFERROR(INDEX(DQAF_Input!$H$2:$H$170,MATCH(146,DQAF_Input!$AG$2:$AG$170,0)),""))</f>
        <v/>
      </c>
      <c r="E147" s="4" t="str">
        <f>IF($B147="","",IFERROR(INDEX(DQAF_Input!$J$2:$J$170,MATCH(146,DQAF_Input!$AG$2:$AG$170,0)),""))</f>
        <v/>
      </c>
      <c r="F147" s="4" t="str">
        <f>IF($B147="","",IFERROR(INDEX(DQAF_Input!$L$2:$L$170,MATCH(146,DQAF_Input!$AG$2:$AG$170,0)),""))</f>
        <v/>
      </c>
    </row>
    <row r="148" spans="1:6" x14ac:dyDescent="0.25">
      <c r="A148" s="10" t="str">
        <f>IF($B148="","",IFERROR(INDEX(DQAF_Input!$P$2:$P$170,MATCH(147,DQAF_Input!$AG$2:$AG$170,0)),""))</f>
        <v/>
      </c>
      <c r="B148" s="10" t="str">
        <f>IFERROR(INDEX(DQAF_Input!$E$2:$E$170,MATCH(147,DQAF_Input!$AG$2:$AG$170,0)),"")</f>
        <v/>
      </c>
      <c r="C148" s="4" t="str">
        <f>IF($B148="","",IF(IFERROR(VLOOKUP($B148,__rbp_p!$A:$B,2,FALSE),"")&lt;&gt;"",IFERROR(VLOOKUP($B148,__rbp_p!$A:$B,2,FALSE),""),IFERROR(INDEX(DQAF_Input!$F$2:$F$170,MATCH(147,DQAF_Input!$AG$2:$AG$170,0)),"")))</f>
        <v/>
      </c>
      <c r="D148" s="4" t="str">
        <f>IF($B148="","",IFERROR(INDEX(DQAF_Input!$H$2:$H$170,MATCH(147,DQAF_Input!$AG$2:$AG$170,0)),""))</f>
        <v/>
      </c>
      <c r="E148" s="4" t="str">
        <f>IF($B148="","",IFERROR(INDEX(DQAF_Input!$J$2:$J$170,MATCH(147,DQAF_Input!$AG$2:$AG$170,0)),""))</f>
        <v/>
      </c>
      <c r="F148" s="4" t="str">
        <f>IF($B148="","",IFERROR(INDEX(DQAF_Input!$L$2:$L$170,MATCH(147,DQAF_Input!$AG$2:$AG$170,0)),""))</f>
        <v/>
      </c>
    </row>
    <row r="149" spans="1:6" x14ac:dyDescent="0.25">
      <c r="A149" s="10" t="str">
        <f>IF($B149="","",IFERROR(INDEX(DQAF_Input!$P$2:$P$170,MATCH(148,DQAF_Input!$AG$2:$AG$170,0)),""))</f>
        <v/>
      </c>
      <c r="B149" s="10" t="str">
        <f>IFERROR(INDEX(DQAF_Input!$E$2:$E$170,MATCH(148,DQAF_Input!$AG$2:$AG$170,0)),"")</f>
        <v/>
      </c>
      <c r="C149" s="4" t="str">
        <f>IF($B149="","",IF(IFERROR(VLOOKUP($B149,__rbp_p!$A:$B,2,FALSE),"")&lt;&gt;"",IFERROR(VLOOKUP($B149,__rbp_p!$A:$B,2,FALSE),""),IFERROR(INDEX(DQAF_Input!$F$2:$F$170,MATCH(148,DQAF_Input!$AG$2:$AG$170,0)),"")))</f>
        <v/>
      </c>
      <c r="D149" s="4" t="str">
        <f>IF($B149="","",IFERROR(INDEX(DQAF_Input!$H$2:$H$170,MATCH(148,DQAF_Input!$AG$2:$AG$170,0)),""))</f>
        <v/>
      </c>
      <c r="E149" s="4" t="str">
        <f>IF($B149="","",IFERROR(INDEX(DQAF_Input!$J$2:$J$170,MATCH(148,DQAF_Input!$AG$2:$AG$170,0)),""))</f>
        <v/>
      </c>
      <c r="F149" s="4" t="str">
        <f>IF($B149="","",IFERROR(INDEX(DQAF_Input!$L$2:$L$170,MATCH(148,DQAF_Input!$AG$2:$AG$170,0)),""))</f>
        <v/>
      </c>
    </row>
    <row r="150" spans="1:6" x14ac:dyDescent="0.25">
      <c r="A150" s="10" t="str">
        <f>IF($B150="","",IFERROR(INDEX(DQAF_Input!$P$2:$P$170,MATCH(149,DQAF_Input!$AG$2:$AG$170,0)),""))</f>
        <v/>
      </c>
      <c r="B150" s="10" t="str">
        <f>IFERROR(INDEX(DQAF_Input!$E$2:$E$170,MATCH(149,DQAF_Input!$AG$2:$AG$170,0)),"")</f>
        <v/>
      </c>
      <c r="C150" s="4" t="str">
        <f>IF($B150="","",IF(IFERROR(VLOOKUP($B150,__rbp_p!$A:$B,2,FALSE),"")&lt;&gt;"",IFERROR(VLOOKUP($B150,__rbp_p!$A:$B,2,FALSE),""),IFERROR(INDEX(DQAF_Input!$F$2:$F$170,MATCH(149,DQAF_Input!$AG$2:$AG$170,0)),"")))</f>
        <v/>
      </c>
      <c r="D150" s="4" t="str">
        <f>IF($B150="","",IFERROR(INDEX(DQAF_Input!$H$2:$H$170,MATCH(149,DQAF_Input!$AG$2:$AG$170,0)),""))</f>
        <v/>
      </c>
      <c r="E150" s="4" t="str">
        <f>IF($B150="","",IFERROR(INDEX(DQAF_Input!$J$2:$J$170,MATCH(149,DQAF_Input!$AG$2:$AG$170,0)),""))</f>
        <v/>
      </c>
      <c r="F150" s="4" t="str">
        <f>IF($B150="","",IFERROR(INDEX(DQAF_Input!$L$2:$L$170,MATCH(149,DQAF_Input!$AG$2:$AG$170,0)),""))</f>
        <v/>
      </c>
    </row>
    <row r="151" spans="1:6" x14ac:dyDescent="0.25">
      <c r="A151" s="10" t="str">
        <f>IF($B151="","",IFERROR(INDEX(DQAF_Input!$P$2:$P$170,MATCH(150,DQAF_Input!$AG$2:$AG$170,0)),""))</f>
        <v/>
      </c>
      <c r="B151" s="10" t="str">
        <f>IFERROR(INDEX(DQAF_Input!$E$2:$E$170,MATCH(150,DQAF_Input!$AG$2:$AG$170,0)),"")</f>
        <v/>
      </c>
      <c r="C151" s="4" t="str">
        <f>IF($B151="","",IF(IFERROR(VLOOKUP($B151,__rbp_p!$A:$B,2,FALSE),"")&lt;&gt;"",IFERROR(VLOOKUP($B151,__rbp_p!$A:$B,2,FALSE),""),IFERROR(INDEX(DQAF_Input!$F$2:$F$170,MATCH(150,DQAF_Input!$AG$2:$AG$170,0)),"")))</f>
        <v/>
      </c>
      <c r="D151" s="4" t="str">
        <f>IF($B151="","",IFERROR(INDEX(DQAF_Input!$H$2:$H$170,MATCH(150,DQAF_Input!$AG$2:$AG$170,0)),""))</f>
        <v/>
      </c>
      <c r="E151" s="4" t="str">
        <f>IF($B151="","",IFERROR(INDEX(DQAF_Input!$J$2:$J$170,MATCH(150,DQAF_Input!$AG$2:$AG$170,0)),""))</f>
        <v/>
      </c>
      <c r="F151" s="4" t="str">
        <f>IF($B151="","",IFERROR(INDEX(DQAF_Input!$L$2:$L$170,MATCH(150,DQAF_Input!$AG$2:$AG$170,0)),""))</f>
        <v/>
      </c>
    </row>
    <row r="152" spans="1:6" x14ac:dyDescent="0.25">
      <c r="A152" s="10" t="str">
        <f>IF($B152="","",IFERROR(INDEX(DQAF_Input!$P$2:$P$170,MATCH(151,DQAF_Input!$AG$2:$AG$170,0)),""))</f>
        <v/>
      </c>
      <c r="B152" s="10" t="str">
        <f>IFERROR(INDEX(DQAF_Input!$E$2:$E$170,MATCH(151,DQAF_Input!$AG$2:$AG$170,0)),"")</f>
        <v/>
      </c>
      <c r="C152" s="4" t="str">
        <f>IF($B152="","",IF(IFERROR(VLOOKUP($B152,__rbp_p!$A:$B,2,FALSE),"")&lt;&gt;"",IFERROR(VLOOKUP($B152,__rbp_p!$A:$B,2,FALSE),""),IFERROR(INDEX(DQAF_Input!$F$2:$F$170,MATCH(151,DQAF_Input!$AG$2:$AG$170,0)),"")))</f>
        <v/>
      </c>
      <c r="D152" s="4" t="str">
        <f>IF($B152="","",IFERROR(INDEX(DQAF_Input!$H$2:$H$170,MATCH(151,DQAF_Input!$AG$2:$AG$170,0)),""))</f>
        <v/>
      </c>
      <c r="E152" s="4" t="str">
        <f>IF($B152="","",IFERROR(INDEX(DQAF_Input!$J$2:$J$170,MATCH(151,DQAF_Input!$AG$2:$AG$170,0)),""))</f>
        <v/>
      </c>
      <c r="F152" s="4" t="str">
        <f>IF($B152="","",IFERROR(INDEX(DQAF_Input!$L$2:$L$170,MATCH(151,DQAF_Input!$AG$2:$AG$170,0)),""))</f>
        <v/>
      </c>
    </row>
    <row r="153" spans="1:6" x14ac:dyDescent="0.25">
      <c r="A153" s="10" t="str">
        <f>IF($B153="","",IFERROR(INDEX(DQAF_Input!$P$2:$P$170,MATCH(152,DQAF_Input!$AG$2:$AG$170,0)),""))</f>
        <v/>
      </c>
      <c r="B153" s="10" t="str">
        <f>IFERROR(INDEX(DQAF_Input!$E$2:$E$170,MATCH(152,DQAF_Input!$AG$2:$AG$170,0)),"")</f>
        <v/>
      </c>
      <c r="C153" s="4" t="str">
        <f>IF($B153="","",IF(IFERROR(VLOOKUP($B153,__rbp_p!$A:$B,2,FALSE),"")&lt;&gt;"",IFERROR(VLOOKUP($B153,__rbp_p!$A:$B,2,FALSE),""),IFERROR(INDEX(DQAF_Input!$F$2:$F$170,MATCH(152,DQAF_Input!$AG$2:$AG$170,0)),"")))</f>
        <v/>
      </c>
      <c r="D153" s="4" t="str">
        <f>IF($B153="","",IFERROR(INDEX(DQAF_Input!$H$2:$H$170,MATCH(152,DQAF_Input!$AG$2:$AG$170,0)),""))</f>
        <v/>
      </c>
      <c r="E153" s="4" t="str">
        <f>IF($B153="","",IFERROR(INDEX(DQAF_Input!$J$2:$J$170,MATCH(152,DQAF_Input!$AG$2:$AG$170,0)),""))</f>
        <v/>
      </c>
      <c r="F153" s="4" t="str">
        <f>IF($B153="","",IFERROR(INDEX(DQAF_Input!$L$2:$L$170,MATCH(152,DQAF_Input!$AG$2:$AG$170,0)),""))</f>
        <v/>
      </c>
    </row>
    <row r="154" spans="1:6" x14ac:dyDescent="0.25">
      <c r="A154" s="10" t="str">
        <f>IF($B154="","",IFERROR(INDEX(DQAF_Input!$P$2:$P$170,MATCH(153,DQAF_Input!$AG$2:$AG$170,0)),""))</f>
        <v/>
      </c>
      <c r="B154" s="10" t="str">
        <f>IFERROR(INDEX(DQAF_Input!$E$2:$E$170,MATCH(153,DQAF_Input!$AG$2:$AG$170,0)),"")</f>
        <v/>
      </c>
      <c r="C154" s="4" t="str">
        <f>IF($B154="","",IF(IFERROR(VLOOKUP($B154,__rbp_p!$A:$B,2,FALSE),"")&lt;&gt;"",IFERROR(VLOOKUP($B154,__rbp_p!$A:$B,2,FALSE),""),IFERROR(INDEX(DQAF_Input!$F$2:$F$170,MATCH(153,DQAF_Input!$AG$2:$AG$170,0)),"")))</f>
        <v/>
      </c>
      <c r="D154" s="4" t="str">
        <f>IF($B154="","",IFERROR(INDEX(DQAF_Input!$H$2:$H$170,MATCH(153,DQAF_Input!$AG$2:$AG$170,0)),""))</f>
        <v/>
      </c>
      <c r="E154" s="4" t="str">
        <f>IF($B154="","",IFERROR(INDEX(DQAF_Input!$J$2:$J$170,MATCH(153,DQAF_Input!$AG$2:$AG$170,0)),""))</f>
        <v/>
      </c>
      <c r="F154" s="4" t="str">
        <f>IF($B154="","",IFERROR(INDEX(DQAF_Input!$L$2:$L$170,MATCH(153,DQAF_Input!$AG$2:$AG$170,0)),""))</f>
        <v/>
      </c>
    </row>
    <row r="155" spans="1:6" x14ac:dyDescent="0.25">
      <c r="A155" s="10" t="str">
        <f>IF($B155="","",IFERROR(INDEX(DQAF_Input!$P$2:$P$170,MATCH(154,DQAF_Input!$AG$2:$AG$170,0)),""))</f>
        <v/>
      </c>
      <c r="B155" s="10" t="str">
        <f>IFERROR(INDEX(DQAF_Input!$E$2:$E$170,MATCH(154,DQAF_Input!$AG$2:$AG$170,0)),"")</f>
        <v/>
      </c>
      <c r="C155" s="4" t="str">
        <f>IF($B155="","",IF(IFERROR(VLOOKUP($B155,__rbp_p!$A:$B,2,FALSE),"")&lt;&gt;"",IFERROR(VLOOKUP($B155,__rbp_p!$A:$B,2,FALSE),""),IFERROR(INDEX(DQAF_Input!$F$2:$F$170,MATCH(154,DQAF_Input!$AG$2:$AG$170,0)),"")))</f>
        <v/>
      </c>
      <c r="D155" s="4" t="str">
        <f>IF($B155="","",IFERROR(INDEX(DQAF_Input!$H$2:$H$170,MATCH(154,DQAF_Input!$AG$2:$AG$170,0)),""))</f>
        <v/>
      </c>
      <c r="E155" s="4" t="str">
        <f>IF($B155="","",IFERROR(INDEX(DQAF_Input!$J$2:$J$170,MATCH(154,DQAF_Input!$AG$2:$AG$170,0)),""))</f>
        <v/>
      </c>
      <c r="F155" s="4" t="str">
        <f>IF($B155="","",IFERROR(INDEX(DQAF_Input!$L$2:$L$170,MATCH(154,DQAF_Input!$AG$2:$AG$170,0)),""))</f>
        <v/>
      </c>
    </row>
    <row r="156" spans="1:6" x14ac:dyDescent="0.25">
      <c r="A156" s="10" t="str">
        <f>IF($B156="","",IFERROR(INDEX(DQAF_Input!$P$2:$P$170,MATCH(155,DQAF_Input!$AG$2:$AG$170,0)),""))</f>
        <v/>
      </c>
      <c r="B156" s="10" t="str">
        <f>IFERROR(INDEX(DQAF_Input!$E$2:$E$170,MATCH(155,DQAF_Input!$AG$2:$AG$170,0)),"")</f>
        <v/>
      </c>
      <c r="C156" s="4" t="str">
        <f>IF($B156="","",IF(IFERROR(VLOOKUP($B156,__rbp_p!$A:$B,2,FALSE),"")&lt;&gt;"",IFERROR(VLOOKUP($B156,__rbp_p!$A:$B,2,FALSE),""),IFERROR(INDEX(DQAF_Input!$F$2:$F$170,MATCH(155,DQAF_Input!$AG$2:$AG$170,0)),"")))</f>
        <v/>
      </c>
      <c r="D156" s="4" t="str">
        <f>IF($B156="","",IFERROR(INDEX(DQAF_Input!$H$2:$H$170,MATCH(155,DQAF_Input!$AG$2:$AG$170,0)),""))</f>
        <v/>
      </c>
      <c r="E156" s="4" t="str">
        <f>IF($B156="","",IFERROR(INDEX(DQAF_Input!$J$2:$J$170,MATCH(155,DQAF_Input!$AG$2:$AG$170,0)),""))</f>
        <v/>
      </c>
      <c r="F156" s="4" t="str">
        <f>IF($B156="","",IFERROR(INDEX(DQAF_Input!$L$2:$L$170,MATCH(155,DQAF_Input!$AG$2:$AG$170,0)),""))</f>
        <v/>
      </c>
    </row>
    <row r="157" spans="1:6" x14ac:dyDescent="0.25">
      <c r="A157" s="10" t="str">
        <f>IF($B157="","",IFERROR(INDEX(DQAF_Input!$P$2:$P$170,MATCH(156,DQAF_Input!$AG$2:$AG$170,0)),""))</f>
        <v/>
      </c>
      <c r="B157" s="10" t="str">
        <f>IFERROR(INDEX(DQAF_Input!$E$2:$E$170,MATCH(156,DQAF_Input!$AG$2:$AG$170,0)),"")</f>
        <v/>
      </c>
      <c r="C157" s="4" t="str">
        <f>IF($B157="","",IF(IFERROR(VLOOKUP($B157,__rbp_p!$A:$B,2,FALSE),"")&lt;&gt;"",IFERROR(VLOOKUP($B157,__rbp_p!$A:$B,2,FALSE),""),IFERROR(INDEX(DQAF_Input!$F$2:$F$170,MATCH(156,DQAF_Input!$AG$2:$AG$170,0)),"")))</f>
        <v/>
      </c>
      <c r="D157" s="4" t="str">
        <f>IF($B157="","",IFERROR(INDEX(DQAF_Input!$H$2:$H$170,MATCH(156,DQAF_Input!$AG$2:$AG$170,0)),""))</f>
        <v/>
      </c>
      <c r="E157" s="4" t="str">
        <f>IF($B157="","",IFERROR(INDEX(DQAF_Input!$J$2:$J$170,MATCH(156,DQAF_Input!$AG$2:$AG$170,0)),""))</f>
        <v/>
      </c>
      <c r="F157" s="4" t="str">
        <f>IF($B157="","",IFERROR(INDEX(DQAF_Input!$L$2:$L$170,MATCH(156,DQAF_Input!$AG$2:$AG$170,0)),""))</f>
        <v/>
      </c>
    </row>
    <row r="158" spans="1:6" x14ac:dyDescent="0.25">
      <c r="A158" s="10" t="str">
        <f>IF($B158="","",IFERROR(INDEX(DQAF_Input!$P$2:$P$170,MATCH(157,DQAF_Input!$AG$2:$AG$170,0)),""))</f>
        <v/>
      </c>
      <c r="B158" s="10" t="str">
        <f>IFERROR(INDEX(DQAF_Input!$E$2:$E$170,MATCH(157,DQAF_Input!$AG$2:$AG$170,0)),"")</f>
        <v/>
      </c>
      <c r="C158" s="4" t="str">
        <f>IF($B158="","",IF(IFERROR(VLOOKUP($B158,__rbp_p!$A:$B,2,FALSE),"")&lt;&gt;"",IFERROR(VLOOKUP($B158,__rbp_p!$A:$B,2,FALSE),""),IFERROR(INDEX(DQAF_Input!$F$2:$F$170,MATCH(157,DQAF_Input!$AG$2:$AG$170,0)),"")))</f>
        <v/>
      </c>
      <c r="D158" s="4" t="str">
        <f>IF($B158="","",IFERROR(INDEX(DQAF_Input!$H$2:$H$170,MATCH(157,DQAF_Input!$AG$2:$AG$170,0)),""))</f>
        <v/>
      </c>
      <c r="E158" s="4" t="str">
        <f>IF($B158="","",IFERROR(INDEX(DQAF_Input!$J$2:$J$170,MATCH(157,DQAF_Input!$AG$2:$AG$170,0)),""))</f>
        <v/>
      </c>
      <c r="F158" s="4" t="str">
        <f>IF($B158="","",IFERROR(INDEX(DQAF_Input!$L$2:$L$170,MATCH(157,DQAF_Input!$AG$2:$AG$170,0)),""))</f>
        <v/>
      </c>
    </row>
    <row r="159" spans="1:6" x14ac:dyDescent="0.25">
      <c r="A159" s="10" t="str">
        <f>IF($B159="","",IFERROR(INDEX(DQAF_Input!$P$2:$P$170,MATCH(158,DQAF_Input!$AG$2:$AG$170,0)),""))</f>
        <v/>
      </c>
      <c r="B159" s="10" t="str">
        <f>IFERROR(INDEX(DQAF_Input!$E$2:$E$170,MATCH(158,DQAF_Input!$AG$2:$AG$170,0)),"")</f>
        <v/>
      </c>
      <c r="C159" s="4" t="str">
        <f>IF($B159="","",IF(IFERROR(VLOOKUP($B159,__rbp_p!$A:$B,2,FALSE),"")&lt;&gt;"",IFERROR(VLOOKUP($B159,__rbp_p!$A:$B,2,FALSE),""),IFERROR(INDEX(DQAF_Input!$F$2:$F$170,MATCH(158,DQAF_Input!$AG$2:$AG$170,0)),"")))</f>
        <v/>
      </c>
      <c r="D159" s="4" t="str">
        <f>IF($B159="","",IFERROR(INDEX(DQAF_Input!$H$2:$H$170,MATCH(158,DQAF_Input!$AG$2:$AG$170,0)),""))</f>
        <v/>
      </c>
      <c r="E159" s="4" t="str">
        <f>IF($B159="","",IFERROR(INDEX(DQAF_Input!$J$2:$J$170,MATCH(158,DQAF_Input!$AG$2:$AG$170,0)),""))</f>
        <v/>
      </c>
      <c r="F159" s="4" t="str">
        <f>IF($B159="","",IFERROR(INDEX(DQAF_Input!$L$2:$L$170,MATCH(158,DQAF_Input!$AG$2:$AG$170,0)),""))</f>
        <v/>
      </c>
    </row>
    <row r="160" spans="1:6" x14ac:dyDescent="0.25">
      <c r="A160" s="10" t="str">
        <f>IF($B160="","",IFERROR(INDEX(DQAF_Input!$P$2:$P$170,MATCH(159,DQAF_Input!$AG$2:$AG$170,0)),""))</f>
        <v/>
      </c>
      <c r="B160" s="10" t="str">
        <f>IFERROR(INDEX(DQAF_Input!$E$2:$E$170,MATCH(159,DQAF_Input!$AG$2:$AG$170,0)),"")</f>
        <v/>
      </c>
      <c r="C160" s="4" t="str">
        <f>IF($B160="","",IF(IFERROR(VLOOKUP($B160,__rbp_p!$A:$B,2,FALSE),"")&lt;&gt;"",IFERROR(VLOOKUP($B160,__rbp_p!$A:$B,2,FALSE),""),IFERROR(INDEX(DQAF_Input!$F$2:$F$170,MATCH(159,DQAF_Input!$AG$2:$AG$170,0)),"")))</f>
        <v/>
      </c>
      <c r="D160" s="4" t="str">
        <f>IF($B160="","",IFERROR(INDEX(DQAF_Input!$H$2:$H$170,MATCH(159,DQAF_Input!$AG$2:$AG$170,0)),""))</f>
        <v/>
      </c>
      <c r="E160" s="4" t="str">
        <f>IF($B160="","",IFERROR(INDEX(DQAF_Input!$J$2:$J$170,MATCH(159,DQAF_Input!$AG$2:$AG$170,0)),""))</f>
        <v/>
      </c>
      <c r="F160" s="4" t="str">
        <f>IF($B160="","",IFERROR(INDEX(DQAF_Input!$L$2:$L$170,MATCH(159,DQAF_Input!$AG$2:$AG$170,0)),""))</f>
        <v/>
      </c>
    </row>
    <row r="161" spans="1:6" x14ac:dyDescent="0.25">
      <c r="A161" s="10" t="str">
        <f>IF($B161="","",IFERROR(INDEX(DQAF_Input!$P$2:$P$170,MATCH(160,DQAF_Input!$AG$2:$AG$170,0)),""))</f>
        <v/>
      </c>
      <c r="B161" s="10" t="str">
        <f>IFERROR(INDEX(DQAF_Input!$E$2:$E$170,MATCH(160,DQAF_Input!$AG$2:$AG$170,0)),"")</f>
        <v/>
      </c>
      <c r="C161" s="4" t="str">
        <f>IF($B161="","",IF(IFERROR(VLOOKUP($B161,__rbp_p!$A:$B,2,FALSE),"")&lt;&gt;"",IFERROR(VLOOKUP($B161,__rbp_p!$A:$B,2,FALSE),""),IFERROR(INDEX(DQAF_Input!$F$2:$F$170,MATCH(160,DQAF_Input!$AG$2:$AG$170,0)),"")))</f>
        <v/>
      </c>
      <c r="D161" s="4" t="str">
        <f>IF($B161="","",IFERROR(INDEX(DQAF_Input!$H$2:$H$170,MATCH(160,DQAF_Input!$AG$2:$AG$170,0)),""))</f>
        <v/>
      </c>
      <c r="E161" s="4" t="str">
        <f>IF($B161="","",IFERROR(INDEX(DQAF_Input!$J$2:$J$170,MATCH(160,DQAF_Input!$AG$2:$AG$170,0)),""))</f>
        <v/>
      </c>
      <c r="F161" s="4" t="str">
        <f>IF($B161="","",IFERROR(INDEX(DQAF_Input!$L$2:$L$170,MATCH(160,DQAF_Input!$AG$2:$AG$170,0)),""))</f>
        <v/>
      </c>
    </row>
    <row r="162" spans="1:6" x14ac:dyDescent="0.25">
      <c r="A162" s="10" t="str">
        <f>IF($B162="","",IFERROR(INDEX(DQAF_Input!$P$2:$P$170,MATCH(161,DQAF_Input!$AG$2:$AG$170,0)),""))</f>
        <v/>
      </c>
      <c r="B162" s="10" t="str">
        <f>IFERROR(INDEX(DQAF_Input!$E$2:$E$170,MATCH(161,DQAF_Input!$AG$2:$AG$170,0)),"")</f>
        <v/>
      </c>
      <c r="C162" s="4" t="str">
        <f>IF($B162="","",IF(IFERROR(VLOOKUP($B162,__rbp_p!$A:$B,2,FALSE),"")&lt;&gt;"",IFERROR(VLOOKUP($B162,__rbp_p!$A:$B,2,FALSE),""),IFERROR(INDEX(DQAF_Input!$F$2:$F$170,MATCH(161,DQAF_Input!$AG$2:$AG$170,0)),"")))</f>
        <v/>
      </c>
      <c r="D162" s="4" t="str">
        <f>IF($B162="","",IFERROR(INDEX(DQAF_Input!$H$2:$H$170,MATCH(161,DQAF_Input!$AG$2:$AG$170,0)),""))</f>
        <v/>
      </c>
      <c r="E162" s="4" t="str">
        <f>IF($B162="","",IFERROR(INDEX(DQAF_Input!$J$2:$J$170,MATCH(161,DQAF_Input!$AG$2:$AG$170,0)),""))</f>
        <v/>
      </c>
      <c r="F162" s="4" t="str">
        <f>IF($B162="","",IFERROR(INDEX(DQAF_Input!$L$2:$L$170,MATCH(161,DQAF_Input!$AG$2:$AG$170,0)),""))</f>
        <v/>
      </c>
    </row>
    <row r="163" spans="1:6" x14ac:dyDescent="0.25">
      <c r="A163" s="10" t="str">
        <f>IF($B163="","",IFERROR(INDEX(DQAF_Input!$P$2:$P$170,MATCH(162,DQAF_Input!$AG$2:$AG$170,0)),""))</f>
        <v/>
      </c>
      <c r="B163" s="10" t="str">
        <f>IFERROR(INDEX(DQAF_Input!$E$2:$E$170,MATCH(162,DQAF_Input!$AG$2:$AG$170,0)),"")</f>
        <v/>
      </c>
      <c r="C163" s="4" t="str">
        <f>IF($B163="","",IF(IFERROR(VLOOKUP($B163,__rbp_p!$A:$B,2,FALSE),"")&lt;&gt;"",IFERROR(VLOOKUP($B163,__rbp_p!$A:$B,2,FALSE),""),IFERROR(INDEX(DQAF_Input!$F$2:$F$170,MATCH(162,DQAF_Input!$AG$2:$AG$170,0)),"")))</f>
        <v/>
      </c>
      <c r="D163" s="4" t="str">
        <f>IF($B163="","",IFERROR(INDEX(DQAF_Input!$H$2:$H$170,MATCH(162,DQAF_Input!$AG$2:$AG$170,0)),""))</f>
        <v/>
      </c>
      <c r="E163" s="4" t="str">
        <f>IF($B163="","",IFERROR(INDEX(DQAF_Input!$J$2:$J$170,MATCH(162,DQAF_Input!$AG$2:$AG$170,0)),""))</f>
        <v/>
      </c>
      <c r="F163" s="4" t="str">
        <f>IF($B163="","",IFERROR(INDEX(DQAF_Input!$L$2:$L$170,MATCH(162,DQAF_Input!$AG$2:$AG$170,0)),""))</f>
        <v/>
      </c>
    </row>
    <row r="164" spans="1:6" x14ac:dyDescent="0.25">
      <c r="A164" s="10" t="str">
        <f>IF($B164="","",IFERROR(INDEX(DQAF_Input!$P$2:$P$170,MATCH(163,DQAF_Input!$AG$2:$AG$170,0)),""))</f>
        <v/>
      </c>
      <c r="B164" s="10" t="str">
        <f>IFERROR(INDEX(DQAF_Input!$E$2:$E$170,MATCH(163,DQAF_Input!$AG$2:$AG$170,0)),"")</f>
        <v/>
      </c>
      <c r="C164" s="4" t="str">
        <f>IF($B164="","",IF(IFERROR(VLOOKUP($B164,__rbp_p!$A:$B,2,FALSE),"")&lt;&gt;"",IFERROR(VLOOKUP($B164,__rbp_p!$A:$B,2,FALSE),""),IFERROR(INDEX(DQAF_Input!$F$2:$F$170,MATCH(163,DQAF_Input!$AG$2:$AG$170,0)),"")))</f>
        <v/>
      </c>
      <c r="D164" s="4" t="str">
        <f>IF($B164="","",IFERROR(INDEX(DQAF_Input!$H$2:$H$170,MATCH(163,DQAF_Input!$AG$2:$AG$170,0)),""))</f>
        <v/>
      </c>
      <c r="E164" s="4" t="str">
        <f>IF($B164="","",IFERROR(INDEX(DQAF_Input!$J$2:$J$170,MATCH(163,DQAF_Input!$AG$2:$AG$170,0)),""))</f>
        <v/>
      </c>
      <c r="F164" s="4" t="str">
        <f>IF($B164="","",IFERROR(INDEX(DQAF_Input!$L$2:$L$170,MATCH(163,DQAF_Input!$AG$2:$AG$170,0)),""))</f>
        <v/>
      </c>
    </row>
    <row r="165" spans="1:6" x14ac:dyDescent="0.25">
      <c r="A165" s="10" t="str">
        <f>IF($B165="","",IFERROR(INDEX(DQAF_Input!$P$2:$P$170,MATCH(164,DQAF_Input!$AG$2:$AG$170,0)),""))</f>
        <v/>
      </c>
      <c r="B165" s="10" t="str">
        <f>IFERROR(INDEX(DQAF_Input!$E$2:$E$170,MATCH(164,DQAF_Input!$AG$2:$AG$170,0)),"")</f>
        <v/>
      </c>
      <c r="C165" s="4" t="str">
        <f>IF($B165="","",IF(IFERROR(VLOOKUP($B165,__rbp_p!$A:$B,2,FALSE),"")&lt;&gt;"",IFERROR(VLOOKUP($B165,__rbp_p!$A:$B,2,FALSE),""),IFERROR(INDEX(DQAF_Input!$F$2:$F$170,MATCH(164,DQAF_Input!$AG$2:$AG$170,0)),"")))</f>
        <v/>
      </c>
      <c r="D165" s="4" t="str">
        <f>IF($B165="","",IFERROR(INDEX(DQAF_Input!$H$2:$H$170,MATCH(164,DQAF_Input!$AG$2:$AG$170,0)),""))</f>
        <v/>
      </c>
      <c r="E165" s="4" t="str">
        <f>IF($B165="","",IFERROR(INDEX(DQAF_Input!$J$2:$J$170,MATCH(164,DQAF_Input!$AG$2:$AG$170,0)),""))</f>
        <v/>
      </c>
      <c r="F165" s="4" t="str">
        <f>IF($B165="","",IFERROR(INDEX(DQAF_Input!$L$2:$L$170,MATCH(164,DQAF_Input!$AG$2:$AG$170,0)),""))</f>
        <v/>
      </c>
    </row>
    <row r="166" spans="1:6" x14ac:dyDescent="0.25">
      <c r="A166" s="10" t="str">
        <f>IF($B166="","",IFERROR(INDEX(DQAF_Input!$P$2:$P$170,MATCH(165,DQAF_Input!$AG$2:$AG$170,0)),""))</f>
        <v/>
      </c>
      <c r="B166" s="10" t="str">
        <f>IFERROR(INDEX(DQAF_Input!$E$2:$E$170,MATCH(165,DQAF_Input!$AG$2:$AG$170,0)),"")</f>
        <v/>
      </c>
      <c r="C166" s="4" t="str">
        <f>IF($B166="","",IF(IFERROR(VLOOKUP($B166,__rbp_p!$A:$B,2,FALSE),"")&lt;&gt;"",IFERROR(VLOOKUP($B166,__rbp_p!$A:$B,2,FALSE),""),IFERROR(INDEX(DQAF_Input!$F$2:$F$170,MATCH(165,DQAF_Input!$AG$2:$AG$170,0)),"")))</f>
        <v/>
      </c>
      <c r="D166" s="4" t="str">
        <f>IF($B166="","",IFERROR(INDEX(DQAF_Input!$H$2:$H$170,MATCH(165,DQAF_Input!$AG$2:$AG$170,0)),""))</f>
        <v/>
      </c>
      <c r="E166" s="4" t="str">
        <f>IF($B166="","",IFERROR(INDEX(DQAF_Input!$J$2:$J$170,MATCH(165,DQAF_Input!$AG$2:$AG$170,0)),""))</f>
        <v/>
      </c>
      <c r="F166" s="4" t="str">
        <f>IF($B166="","",IFERROR(INDEX(DQAF_Input!$L$2:$L$170,MATCH(165,DQAF_Input!$AG$2:$AG$170,0)),""))</f>
        <v/>
      </c>
    </row>
    <row r="167" spans="1:6" x14ac:dyDescent="0.25">
      <c r="A167" s="10" t="str">
        <f>IF($B167="","",IFERROR(INDEX(DQAF_Input!$P$2:$P$170,MATCH(166,DQAF_Input!$AG$2:$AG$170,0)),""))</f>
        <v/>
      </c>
      <c r="B167" s="10" t="str">
        <f>IFERROR(INDEX(DQAF_Input!$E$2:$E$170,MATCH(166,DQAF_Input!$AG$2:$AG$170,0)),"")</f>
        <v/>
      </c>
      <c r="C167" s="4" t="str">
        <f>IF($B167="","",IF(IFERROR(VLOOKUP($B167,__rbp_p!$A:$B,2,FALSE),"")&lt;&gt;"",IFERROR(VLOOKUP($B167,__rbp_p!$A:$B,2,FALSE),""),IFERROR(INDEX(DQAF_Input!$F$2:$F$170,MATCH(166,DQAF_Input!$AG$2:$AG$170,0)),"")))</f>
        <v/>
      </c>
      <c r="D167" s="4" t="str">
        <f>IF($B167="","",IFERROR(INDEX(DQAF_Input!$H$2:$H$170,MATCH(166,DQAF_Input!$AG$2:$AG$170,0)),""))</f>
        <v/>
      </c>
      <c r="E167" s="4" t="str">
        <f>IF($B167="","",IFERROR(INDEX(DQAF_Input!$J$2:$J$170,MATCH(166,DQAF_Input!$AG$2:$AG$170,0)),""))</f>
        <v/>
      </c>
      <c r="F167" s="4" t="str">
        <f>IF($B167="","",IFERROR(INDEX(DQAF_Input!$L$2:$L$170,MATCH(166,DQAF_Input!$AG$2:$AG$170,0)),""))</f>
        <v/>
      </c>
    </row>
    <row r="168" spans="1:6" x14ac:dyDescent="0.25">
      <c r="A168" s="10" t="str">
        <f>IF($B168="","",IFERROR(INDEX(DQAF_Input!$P$2:$P$170,MATCH(167,DQAF_Input!$AG$2:$AG$170,0)),""))</f>
        <v/>
      </c>
      <c r="B168" s="10" t="str">
        <f>IFERROR(INDEX(DQAF_Input!$E$2:$E$170,MATCH(167,DQAF_Input!$AG$2:$AG$170,0)),"")</f>
        <v/>
      </c>
      <c r="C168" s="4" t="str">
        <f>IF($B168="","",IF(IFERROR(VLOOKUP($B168,__rbp_p!$A:$B,2,FALSE),"")&lt;&gt;"",IFERROR(VLOOKUP($B168,__rbp_p!$A:$B,2,FALSE),""),IFERROR(INDEX(DQAF_Input!$F$2:$F$170,MATCH(167,DQAF_Input!$AG$2:$AG$170,0)),"")))</f>
        <v/>
      </c>
      <c r="D168" s="4" t="str">
        <f>IF($B168="","",IFERROR(INDEX(DQAF_Input!$H$2:$H$170,MATCH(167,DQAF_Input!$AG$2:$AG$170,0)),""))</f>
        <v/>
      </c>
      <c r="E168" s="4" t="str">
        <f>IF($B168="","",IFERROR(INDEX(DQAF_Input!$J$2:$J$170,MATCH(167,DQAF_Input!$AG$2:$AG$170,0)),""))</f>
        <v/>
      </c>
      <c r="F168" s="4" t="str">
        <f>IF($B168="","",IFERROR(INDEX(DQAF_Input!$L$2:$L$170,MATCH(167,DQAF_Input!$AG$2:$AG$170,0)),""))</f>
        <v/>
      </c>
    </row>
    <row r="169" spans="1:6" x14ac:dyDescent="0.25">
      <c r="A169" s="10" t="str">
        <f>IF($B169="","",IFERROR(INDEX(DQAF_Input!$P$2:$P$170,MATCH(168,DQAF_Input!$AG$2:$AG$170,0)),""))</f>
        <v/>
      </c>
      <c r="B169" s="10" t="str">
        <f>IFERROR(INDEX(DQAF_Input!$E$2:$E$170,MATCH(168,DQAF_Input!$AG$2:$AG$170,0)),"")</f>
        <v/>
      </c>
      <c r="C169" s="4" t="str">
        <f>IF($B169="","",IF(IFERROR(VLOOKUP($B169,__rbp_p!$A:$B,2,FALSE),"")&lt;&gt;"",IFERROR(VLOOKUP($B169,__rbp_p!$A:$B,2,FALSE),""),IFERROR(INDEX(DQAF_Input!$F$2:$F$170,MATCH(168,DQAF_Input!$AG$2:$AG$170,0)),"")))</f>
        <v/>
      </c>
      <c r="D169" s="4" t="str">
        <f>IF($B169="","",IFERROR(INDEX(DQAF_Input!$H$2:$H$170,MATCH(168,DQAF_Input!$AG$2:$AG$170,0)),""))</f>
        <v/>
      </c>
      <c r="E169" s="4" t="str">
        <f>IF($B169="","",IFERROR(INDEX(DQAF_Input!$J$2:$J$170,MATCH(168,DQAF_Input!$AG$2:$AG$170,0)),""))</f>
        <v/>
      </c>
      <c r="F169" s="4" t="str">
        <f>IF($B169="","",IFERROR(INDEX(DQAF_Input!$L$2:$L$170,MATCH(168,DQAF_Input!$AG$2:$AG$170,0)),""))</f>
        <v/>
      </c>
    </row>
    <row r="170" spans="1:6" x14ac:dyDescent="0.25">
      <c r="A170" s="10" t="str">
        <f>IF($B170="","",IFERROR(INDEX(DQAF_Input!$P$2:$P$170,MATCH(169,DQAF_Input!$AG$2:$AG$170,0)),""))</f>
        <v/>
      </c>
      <c r="B170" s="10" t="str">
        <f>IFERROR(INDEX(DQAF_Input!$E$2:$E$170,MATCH(169,DQAF_Input!$AG$2:$AG$170,0)),"")</f>
        <v/>
      </c>
      <c r="C170" s="4" t="str">
        <f>IF($B170="","",IF(IFERROR(VLOOKUP($B170,__rbp_p!$A:$B,2,FALSE),"")&lt;&gt;"",IFERROR(VLOOKUP($B170,__rbp_p!$A:$B,2,FALSE),""),IFERROR(INDEX(DQAF_Input!$F$2:$F$170,MATCH(169,DQAF_Input!$AG$2:$AG$170,0)),"")))</f>
        <v/>
      </c>
      <c r="D170" s="4" t="str">
        <f>IF($B170="","",IFERROR(INDEX(DQAF_Input!$H$2:$H$170,MATCH(169,DQAF_Input!$AG$2:$AG$170,0)),""))</f>
        <v/>
      </c>
      <c r="E170" s="4" t="str">
        <f>IF($B170="","",IFERROR(INDEX(DQAF_Input!$J$2:$J$170,MATCH(169,DQAF_Input!$AG$2:$AG$170,0)),""))</f>
        <v/>
      </c>
      <c r="F170" s="4" t="str">
        <f>IF($B170="","",IFERROR(INDEX(DQAF_Input!$L$2:$L$170,MATCH(169,DQAF_Input!$AG$2:$AG$170,0)),""))</f>
        <v/>
      </c>
    </row>
  </sheetData>
  <sheetProtection algorithmName="SHA-512" hashValue="E16/Ibi1NTVn79J30dP/vmGUly74Hyb8/twz8/vPFxRlrnck7oLZ2j/9bkINM0b/BptGWgNKqqE5kP6knp+pEQ==" saltValue="cYqABMvnQtM4HX/V39hMUg==" spinCount="100000" sheet="1" objects="1" scenarios="1"/>
  <pageMargins left="0.05" right="0.05" top="0.05" bottom="0.05"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8"/>
  <sheetViews>
    <sheetView workbookViewId="0"/>
  </sheetViews>
  <sheetFormatPr defaultRowHeight="15" x14ac:dyDescent="0.25"/>
  <sheetData>
    <row r="2" spans="2:9" x14ac:dyDescent="0.25">
      <c r="B2" t="s">
        <v>417</v>
      </c>
      <c r="C2" t="s">
        <v>418</v>
      </c>
      <c r="D2" t="s">
        <v>417</v>
      </c>
      <c r="E2" t="s">
        <v>418</v>
      </c>
      <c r="F2" t="s">
        <v>419</v>
      </c>
      <c r="G2" t="s">
        <v>420</v>
      </c>
      <c r="H2" t="s">
        <v>421</v>
      </c>
      <c r="I2" t="s">
        <v>422</v>
      </c>
    </row>
    <row r="3" spans="2:9" x14ac:dyDescent="0.25">
      <c r="B3" t="s">
        <v>423</v>
      </c>
      <c r="C3" t="s">
        <v>424</v>
      </c>
      <c r="D3" t="s">
        <v>423</v>
      </c>
      <c r="E3" t="s">
        <v>424</v>
      </c>
      <c r="F3" t="s">
        <v>425</v>
      </c>
      <c r="G3" t="s">
        <v>426</v>
      </c>
      <c r="H3" t="s">
        <v>427</v>
      </c>
      <c r="I3" t="s">
        <v>428</v>
      </c>
    </row>
    <row r="4" spans="2:9" x14ac:dyDescent="0.25">
      <c r="B4" t="s">
        <v>429</v>
      </c>
      <c r="C4" t="s">
        <v>430</v>
      </c>
      <c r="D4" t="s">
        <v>429</v>
      </c>
      <c r="E4" t="s">
        <v>430</v>
      </c>
      <c r="F4" t="s">
        <v>431</v>
      </c>
      <c r="G4" t="s">
        <v>432</v>
      </c>
      <c r="H4" t="s">
        <v>433</v>
      </c>
      <c r="I4" t="s">
        <v>434</v>
      </c>
    </row>
    <row r="5" spans="2:9" x14ac:dyDescent="0.25">
      <c r="B5" t="s">
        <v>435</v>
      </c>
      <c r="C5" t="s">
        <v>436</v>
      </c>
      <c r="D5" t="s">
        <v>435</v>
      </c>
      <c r="E5" t="s">
        <v>436</v>
      </c>
      <c r="F5" t="s">
        <v>437</v>
      </c>
      <c r="G5" t="s">
        <v>438</v>
      </c>
      <c r="H5" t="s">
        <v>439</v>
      </c>
      <c r="I5" t="s">
        <v>440</v>
      </c>
    </row>
    <row r="6" spans="2:9" x14ac:dyDescent="0.25">
      <c r="B6" t="s">
        <v>441</v>
      </c>
      <c r="C6" t="s">
        <v>442</v>
      </c>
      <c r="D6" t="s">
        <v>441</v>
      </c>
      <c r="E6" t="s">
        <v>442</v>
      </c>
      <c r="F6" t="s">
        <v>443</v>
      </c>
      <c r="G6" t="s">
        <v>444</v>
      </c>
      <c r="H6" t="s">
        <v>445</v>
      </c>
      <c r="I6" t="s">
        <v>446</v>
      </c>
    </row>
    <row r="7" spans="2:9" x14ac:dyDescent="0.25">
      <c r="D7" t="s">
        <v>447</v>
      </c>
      <c r="E7" t="s">
        <v>448</v>
      </c>
      <c r="G7" t="s">
        <v>449</v>
      </c>
    </row>
    <row r="8" spans="2:9" x14ac:dyDescent="0.25">
      <c r="G8" t="s">
        <v>450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39"/>
  <sheetViews>
    <sheetView workbookViewId="0"/>
  </sheetViews>
  <sheetFormatPr defaultRowHeight="15" x14ac:dyDescent="0.25"/>
  <sheetData>
    <row r="1" spans="1:5" x14ac:dyDescent="0.25">
      <c r="A1" t="s">
        <v>451</v>
      </c>
      <c r="B1" t="s">
        <v>452</v>
      </c>
      <c r="C1" t="s">
        <v>453</v>
      </c>
      <c r="D1" t="s">
        <v>27</v>
      </c>
      <c r="E1" t="s">
        <v>454</v>
      </c>
    </row>
    <row r="2" spans="1:5" x14ac:dyDescent="0.25">
      <c r="A2" t="s">
        <v>51</v>
      </c>
      <c r="B2" t="s">
        <v>418</v>
      </c>
      <c r="C2" t="s">
        <v>418</v>
      </c>
      <c r="D2" t="s">
        <v>455</v>
      </c>
      <c r="E2" t="s">
        <v>456</v>
      </c>
    </row>
    <row r="3" spans="1:5" x14ac:dyDescent="0.25">
      <c r="A3" t="s">
        <v>51</v>
      </c>
      <c r="B3" t="s">
        <v>424</v>
      </c>
      <c r="C3" t="s">
        <v>424</v>
      </c>
      <c r="D3" t="s">
        <v>34</v>
      </c>
      <c r="E3" t="s">
        <v>457</v>
      </c>
    </row>
    <row r="4" spans="1:5" x14ac:dyDescent="0.25">
      <c r="A4" t="s">
        <v>51</v>
      </c>
      <c r="B4" t="s">
        <v>430</v>
      </c>
      <c r="C4" t="s">
        <v>430</v>
      </c>
      <c r="D4" t="s">
        <v>458</v>
      </c>
      <c r="E4" t="s">
        <v>459</v>
      </c>
    </row>
    <row r="5" spans="1:5" x14ac:dyDescent="0.25">
      <c r="A5" t="s">
        <v>51</v>
      </c>
      <c r="B5" t="s">
        <v>436</v>
      </c>
      <c r="C5" t="s">
        <v>436</v>
      </c>
      <c r="D5" t="s">
        <v>460</v>
      </c>
      <c r="E5" t="s">
        <v>461</v>
      </c>
    </row>
    <row r="6" spans="1:5" x14ac:dyDescent="0.25">
      <c r="A6" t="s">
        <v>51</v>
      </c>
      <c r="B6" t="s">
        <v>442</v>
      </c>
      <c r="C6" t="s">
        <v>442</v>
      </c>
      <c r="D6" t="s">
        <v>462</v>
      </c>
      <c r="E6" t="s">
        <v>463</v>
      </c>
    </row>
    <row r="7" spans="1:5" x14ac:dyDescent="0.25">
      <c r="A7" t="s">
        <v>58</v>
      </c>
      <c r="B7" t="s">
        <v>418</v>
      </c>
      <c r="C7" t="s">
        <v>418</v>
      </c>
      <c r="D7" t="s">
        <v>455</v>
      </c>
      <c r="E7" t="s">
        <v>464</v>
      </c>
    </row>
    <row r="8" spans="1:5" x14ac:dyDescent="0.25">
      <c r="A8" t="s">
        <v>58</v>
      </c>
      <c r="B8" t="s">
        <v>424</v>
      </c>
      <c r="C8" t="s">
        <v>424</v>
      </c>
      <c r="D8" t="s">
        <v>34</v>
      </c>
      <c r="E8" t="s">
        <v>465</v>
      </c>
    </row>
    <row r="9" spans="1:5" x14ac:dyDescent="0.25">
      <c r="A9" t="s">
        <v>58</v>
      </c>
      <c r="B9" t="s">
        <v>430</v>
      </c>
      <c r="C9" t="s">
        <v>430</v>
      </c>
      <c r="D9" t="s">
        <v>458</v>
      </c>
      <c r="E9" t="s">
        <v>466</v>
      </c>
    </row>
    <row r="10" spans="1:5" x14ac:dyDescent="0.25">
      <c r="A10" t="s">
        <v>58</v>
      </c>
      <c r="B10" t="s">
        <v>436</v>
      </c>
      <c r="C10" t="s">
        <v>436</v>
      </c>
      <c r="D10" t="s">
        <v>460</v>
      </c>
      <c r="E10" t="s">
        <v>467</v>
      </c>
    </row>
    <row r="11" spans="1:5" x14ac:dyDescent="0.25">
      <c r="A11" t="s">
        <v>58</v>
      </c>
      <c r="B11" t="s">
        <v>442</v>
      </c>
      <c r="C11" t="s">
        <v>442</v>
      </c>
      <c r="D11" t="s">
        <v>462</v>
      </c>
      <c r="E11" t="s">
        <v>468</v>
      </c>
    </row>
    <row r="12" spans="1:5" x14ac:dyDescent="0.25">
      <c r="A12" t="s">
        <v>58</v>
      </c>
      <c r="B12" t="s">
        <v>448</v>
      </c>
      <c r="C12" t="s">
        <v>448</v>
      </c>
      <c r="E12" t="s">
        <v>469</v>
      </c>
    </row>
    <row r="13" spans="1:5" x14ac:dyDescent="0.25">
      <c r="A13" t="s">
        <v>470</v>
      </c>
      <c r="B13" t="s">
        <v>471</v>
      </c>
      <c r="C13" t="s">
        <v>472</v>
      </c>
      <c r="D13" t="s">
        <v>455</v>
      </c>
      <c r="E13" t="s">
        <v>473</v>
      </c>
    </row>
    <row r="14" spans="1:5" x14ac:dyDescent="0.25">
      <c r="A14" t="s">
        <v>470</v>
      </c>
      <c r="B14" t="s">
        <v>474</v>
      </c>
      <c r="C14" t="s">
        <v>475</v>
      </c>
      <c r="D14" t="s">
        <v>34</v>
      </c>
      <c r="E14" t="s">
        <v>476</v>
      </c>
    </row>
    <row r="15" spans="1:5" x14ac:dyDescent="0.25">
      <c r="A15" t="s">
        <v>470</v>
      </c>
      <c r="B15" t="s">
        <v>477</v>
      </c>
      <c r="C15" t="s">
        <v>478</v>
      </c>
      <c r="D15" t="s">
        <v>458</v>
      </c>
      <c r="E15" t="s">
        <v>479</v>
      </c>
    </row>
    <row r="16" spans="1:5" x14ac:dyDescent="0.25">
      <c r="A16" t="s">
        <v>470</v>
      </c>
      <c r="B16" t="s">
        <v>480</v>
      </c>
      <c r="C16" t="s">
        <v>481</v>
      </c>
      <c r="D16" t="s">
        <v>460</v>
      </c>
      <c r="E16" t="s">
        <v>482</v>
      </c>
    </row>
    <row r="17" spans="1:5" x14ac:dyDescent="0.25">
      <c r="A17" t="s">
        <v>470</v>
      </c>
      <c r="B17" t="s">
        <v>483</v>
      </c>
      <c r="C17" t="s">
        <v>484</v>
      </c>
      <c r="D17" t="s">
        <v>462</v>
      </c>
      <c r="E17" t="s">
        <v>485</v>
      </c>
    </row>
    <row r="18" spans="1:5" x14ac:dyDescent="0.25">
      <c r="A18" t="s">
        <v>470</v>
      </c>
      <c r="B18" t="s">
        <v>486</v>
      </c>
      <c r="C18" t="s">
        <v>447</v>
      </c>
      <c r="E18" t="s">
        <v>487</v>
      </c>
    </row>
    <row r="19" spans="1:5" x14ac:dyDescent="0.25">
      <c r="A19" t="s">
        <v>488</v>
      </c>
      <c r="B19" t="s">
        <v>489</v>
      </c>
      <c r="C19" t="s">
        <v>489</v>
      </c>
      <c r="D19" t="s">
        <v>455</v>
      </c>
      <c r="E19" t="s">
        <v>490</v>
      </c>
    </row>
    <row r="20" spans="1:5" x14ac:dyDescent="0.25">
      <c r="A20" t="s">
        <v>488</v>
      </c>
      <c r="B20" t="s">
        <v>491</v>
      </c>
      <c r="C20" t="s">
        <v>491</v>
      </c>
      <c r="D20" t="s">
        <v>34</v>
      </c>
      <c r="E20" t="s">
        <v>492</v>
      </c>
    </row>
    <row r="21" spans="1:5" x14ac:dyDescent="0.25">
      <c r="A21" t="s">
        <v>488</v>
      </c>
      <c r="B21" t="s">
        <v>493</v>
      </c>
      <c r="C21" t="s">
        <v>493</v>
      </c>
      <c r="D21" t="s">
        <v>458</v>
      </c>
      <c r="E21" t="s">
        <v>494</v>
      </c>
    </row>
    <row r="22" spans="1:5" x14ac:dyDescent="0.25">
      <c r="A22" t="s">
        <v>488</v>
      </c>
      <c r="B22" t="s">
        <v>495</v>
      </c>
      <c r="C22" t="s">
        <v>495</v>
      </c>
      <c r="D22" t="s">
        <v>460</v>
      </c>
      <c r="E22" t="s">
        <v>496</v>
      </c>
    </row>
    <row r="23" spans="1:5" x14ac:dyDescent="0.25">
      <c r="A23" t="s">
        <v>488</v>
      </c>
      <c r="B23" t="s">
        <v>497</v>
      </c>
      <c r="C23" t="s">
        <v>497</v>
      </c>
      <c r="D23" t="s">
        <v>498</v>
      </c>
      <c r="E23" t="s">
        <v>499</v>
      </c>
    </row>
    <row r="24" spans="1:5" x14ac:dyDescent="0.25">
      <c r="A24" t="s">
        <v>500</v>
      </c>
      <c r="B24" t="s">
        <v>501</v>
      </c>
      <c r="C24" t="s">
        <v>502</v>
      </c>
      <c r="D24" t="s">
        <v>455</v>
      </c>
      <c r="E24" t="s">
        <v>503</v>
      </c>
    </row>
    <row r="25" spans="1:5" x14ac:dyDescent="0.25">
      <c r="A25" t="s">
        <v>500</v>
      </c>
      <c r="B25" t="s">
        <v>504</v>
      </c>
      <c r="C25" t="s">
        <v>505</v>
      </c>
      <c r="D25" t="s">
        <v>34</v>
      </c>
      <c r="E25" t="s">
        <v>506</v>
      </c>
    </row>
    <row r="26" spans="1:5" x14ac:dyDescent="0.25">
      <c r="A26" t="s">
        <v>500</v>
      </c>
      <c r="B26" t="s">
        <v>507</v>
      </c>
      <c r="C26" t="s">
        <v>508</v>
      </c>
      <c r="D26" t="s">
        <v>458</v>
      </c>
      <c r="E26" t="s">
        <v>509</v>
      </c>
    </row>
    <row r="27" spans="1:5" x14ac:dyDescent="0.25">
      <c r="A27" t="s">
        <v>500</v>
      </c>
      <c r="B27" t="s">
        <v>510</v>
      </c>
      <c r="C27" t="s">
        <v>511</v>
      </c>
      <c r="D27" t="s">
        <v>460</v>
      </c>
      <c r="E27" t="s">
        <v>512</v>
      </c>
    </row>
    <row r="28" spans="1:5" x14ac:dyDescent="0.25">
      <c r="A28" t="s">
        <v>500</v>
      </c>
      <c r="B28" t="s">
        <v>513</v>
      </c>
      <c r="C28" t="s">
        <v>514</v>
      </c>
      <c r="D28" t="s">
        <v>462</v>
      </c>
      <c r="E28" t="s">
        <v>515</v>
      </c>
    </row>
    <row r="29" spans="1:5" x14ac:dyDescent="0.25">
      <c r="A29" t="s">
        <v>516</v>
      </c>
      <c r="B29" t="s">
        <v>517</v>
      </c>
      <c r="C29" t="s">
        <v>517</v>
      </c>
      <c r="D29" t="s">
        <v>455</v>
      </c>
      <c r="E29" t="s">
        <v>518</v>
      </c>
    </row>
    <row r="30" spans="1:5" x14ac:dyDescent="0.25">
      <c r="A30" t="s">
        <v>516</v>
      </c>
      <c r="B30" t="s">
        <v>519</v>
      </c>
      <c r="C30" t="s">
        <v>519</v>
      </c>
      <c r="D30" t="s">
        <v>34</v>
      </c>
      <c r="E30" t="s">
        <v>520</v>
      </c>
    </row>
    <row r="31" spans="1:5" x14ac:dyDescent="0.25">
      <c r="A31" t="s">
        <v>516</v>
      </c>
      <c r="B31" t="s">
        <v>521</v>
      </c>
      <c r="C31" t="s">
        <v>521</v>
      </c>
      <c r="D31" t="s">
        <v>458</v>
      </c>
      <c r="E31" t="s">
        <v>522</v>
      </c>
    </row>
    <row r="32" spans="1:5" x14ac:dyDescent="0.25">
      <c r="A32" t="s">
        <v>516</v>
      </c>
      <c r="B32" t="s">
        <v>523</v>
      </c>
      <c r="C32" t="s">
        <v>523</v>
      </c>
      <c r="D32" t="s">
        <v>460</v>
      </c>
      <c r="E32" t="s">
        <v>524</v>
      </c>
    </row>
    <row r="33" spans="1:5" x14ac:dyDescent="0.25">
      <c r="A33" t="s">
        <v>516</v>
      </c>
      <c r="B33" t="s">
        <v>525</v>
      </c>
      <c r="C33" t="s">
        <v>525</v>
      </c>
      <c r="D33" t="s">
        <v>462</v>
      </c>
      <c r="E33" t="s">
        <v>526</v>
      </c>
    </row>
    <row r="34" spans="1:5" x14ac:dyDescent="0.25">
      <c r="A34" t="s">
        <v>407</v>
      </c>
      <c r="B34" t="s">
        <v>422</v>
      </c>
      <c r="C34" t="s">
        <v>422</v>
      </c>
      <c r="D34" t="s">
        <v>455</v>
      </c>
      <c r="E34" t="s">
        <v>527</v>
      </c>
    </row>
    <row r="35" spans="1:5" x14ac:dyDescent="0.25">
      <c r="A35" t="s">
        <v>407</v>
      </c>
      <c r="B35" t="s">
        <v>428</v>
      </c>
      <c r="C35" t="s">
        <v>428</v>
      </c>
      <c r="D35" t="s">
        <v>34</v>
      </c>
      <c r="E35" t="s">
        <v>528</v>
      </c>
    </row>
    <row r="36" spans="1:5" x14ac:dyDescent="0.25">
      <c r="A36" t="s">
        <v>407</v>
      </c>
      <c r="B36" t="s">
        <v>434</v>
      </c>
      <c r="C36" t="s">
        <v>434</v>
      </c>
      <c r="D36" t="s">
        <v>458</v>
      </c>
      <c r="E36" t="s">
        <v>529</v>
      </c>
    </row>
    <row r="37" spans="1:5" x14ac:dyDescent="0.25">
      <c r="A37" t="s">
        <v>407</v>
      </c>
      <c r="B37" t="s">
        <v>440</v>
      </c>
      <c r="C37" t="s">
        <v>440</v>
      </c>
      <c r="D37" t="s">
        <v>460</v>
      </c>
      <c r="E37" t="s">
        <v>530</v>
      </c>
    </row>
    <row r="38" spans="1:5" x14ac:dyDescent="0.25">
      <c r="A38" t="s">
        <v>407</v>
      </c>
      <c r="B38" t="s">
        <v>446</v>
      </c>
      <c r="C38" t="s">
        <v>446</v>
      </c>
      <c r="D38" t="s">
        <v>498</v>
      </c>
      <c r="E38" t="s">
        <v>531</v>
      </c>
    </row>
    <row r="39" spans="1:5" x14ac:dyDescent="0.25">
      <c r="A39" t="s">
        <v>532</v>
      </c>
      <c r="B39" t="s">
        <v>533</v>
      </c>
      <c r="C39" t="s">
        <v>534</v>
      </c>
      <c r="D39" t="s">
        <v>455</v>
      </c>
      <c r="E39" t="s">
        <v>535</v>
      </c>
    </row>
    <row r="40" spans="1:5" x14ac:dyDescent="0.25">
      <c r="A40" t="s">
        <v>532</v>
      </c>
      <c r="B40" t="s">
        <v>536</v>
      </c>
      <c r="C40" t="s">
        <v>537</v>
      </c>
      <c r="D40" t="s">
        <v>34</v>
      </c>
      <c r="E40" t="s">
        <v>538</v>
      </c>
    </row>
    <row r="41" spans="1:5" x14ac:dyDescent="0.25">
      <c r="A41" t="s">
        <v>532</v>
      </c>
      <c r="B41" t="s">
        <v>539</v>
      </c>
      <c r="C41" t="s">
        <v>540</v>
      </c>
      <c r="D41" t="s">
        <v>458</v>
      </c>
      <c r="E41" t="s">
        <v>541</v>
      </c>
    </row>
    <row r="42" spans="1:5" x14ac:dyDescent="0.25">
      <c r="A42" t="s">
        <v>532</v>
      </c>
      <c r="B42" t="s">
        <v>542</v>
      </c>
      <c r="C42" t="s">
        <v>543</v>
      </c>
      <c r="D42" t="s">
        <v>460</v>
      </c>
      <c r="E42" t="s">
        <v>544</v>
      </c>
    </row>
    <row r="43" spans="1:5" x14ac:dyDescent="0.25">
      <c r="A43" t="s">
        <v>532</v>
      </c>
      <c r="B43" t="s">
        <v>545</v>
      </c>
      <c r="C43" t="s">
        <v>546</v>
      </c>
      <c r="D43" t="s">
        <v>462</v>
      </c>
      <c r="E43" t="s">
        <v>547</v>
      </c>
    </row>
    <row r="44" spans="1:5" x14ac:dyDescent="0.25">
      <c r="A44" t="s">
        <v>532</v>
      </c>
      <c r="B44" t="s">
        <v>548</v>
      </c>
      <c r="C44" t="s">
        <v>549</v>
      </c>
      <c r="E44" t="s">
        <v>550</v>
      </c>
    </row>
    <row r="45" spans="1:5" x14ac:dyDescent="0.25">
      <c r="A45" t="s">
        <v>551</v>
      </c>
      <c r="B45" t="s">
        <v>552</v>
      </c>
      <c r="C45" t="s">
        <v>552</v>
      </c>
      <c r="D45" t="s">
        <v>455</v>
      </c>
      <c r="E45" t="s">
        <v>553</v>
      </c>
    </row>
    <row r="46" spans="1:5" x14ac:dyDescent="0.25">
      <c r="A46" t="s">
        <v>551</v>
      </c>
      <c r="B46" t="s">
        <v>554</v>
      </c>
      <c r="C46" t="s">
        <v>554</v>
      </c>
      <c r="D46" t="s">
        <v>34</v>
      </c>
      <c r="E46" t="s">
        <v>555</v>
      </c>
    </row>
    <row r="47" spans="1:5" x14ac:dyDescent="0.25">
      <c r="A47" t="s">
        <v>551</v>
      </c>
      <c r="B47" t="s">
        <v>556</v>
      </c>
      <c r="C47" t="s">
        <v>556</v>
      </c>
      <c r="D47" t="s">
        <v>458</v>
      </c>
      <c r="E47" t="s">
        <v>557</v>
      </c>
    </row>
    <row r="48" spans="1:5" x14ac:dyDescent="0.25">
      <c r="A48" t="s">
        <v>551</v>
      </c>
      <c r="B48" t="s">
        <v>558</v>
      </c>
      <c r="C48" t="s">
        <v>558</v>
      </c>
      <c r="D48" t="s">
        <v>460</v>
      </c>
      <c r="E48" t="s">
        <v>559</v>
      </c>
    </row>
    <row r="49" spans="1:5" x14ac:dyDescent="0.25">
      <c r="A49" t="s">
        <v>551</v>
      </c>
      <c r="B49" t="s">
        <v>560</v>
      </c>
      <c r="C49" t="s">
        <v>560</v>
      </c>
      <c r="D49" t="s">
        <v>462</v>
      </c>
      <c r="E49" t="s">
        <v>561</v>
      </c>
    </row>
    <row r="50" spans="1:5" x14ac:dyDescent="0.25">
      <c r="A50" t="s">
        <v>40</v>
      </c>
      <c r="B50" t="s">
        <v>562</v>
      </c>
      <c r="C50" t="s">
        <v>417</v>
      </c>
      <c r="D50" t="s">
        <v>455</v>
      </c>
      <c r="E50" t="s">
        <v>563</v>
      </c>
    </row>
    <row r="51" spans="1:5" x14ac:dyDescent="0.25">
      <c r="A51" t="s">
        <v>40</v>
      </c>
      <c r="B51" t="s">
        <v>564</v>
      </c>
      <c r="C51" t="s">
        <v>423</v>
      </c>
      <c r="D51" t="s">
        <v>34</v>
      </c>
      <c r="E51" t="s">
        <v>565</v>
      </c>
    </row>
    <row r="52" spans="1:5" x14ac:dyDescent="0.25">
      <c r="A52" t="s">
        <v>40</v>
      </c>
      <c r="B52" t="s">
        <v>566</v>
      </c>
      <c r="C52" t="s">
        <v>429</v>
      </c>
      <c r="D52" t="s">
        <v>458</v>
      </c>
      <c r="E52" t="s">
        <v>567</v>
      </c>
    </row>
    <row r="53" spans="1:5" x14ac:dyDescent="0.25">
      <c r="A53" t="s">
        <v>40</v>
      </c>
      <c r="B53" t="s">
        <v>568</v>
      </c>
      <c r="C53" t="s">
        <v>435</v>
      </c>
      <c r="D53" t="s">
        <v>460</v>
      </c>
      <c r="E53" t="s">
        <v>569</v>
      </c>
    </row>
    <row r="54" spans="1:5" x14ac:dyDescent="0.25">
      <c r="A54" t="s">
        <v>40</v>
      </c>
      <c r="B54" t="s">
        <v>570</v>
      </c>
      <c r="C54" t="s">
        <v>441</v>
      </c>
      <c r="D54" t="s">
        <v>462</v>
      </c>
      <c r="E54" t="s">
        <v>571</v>
      </c>
    </row>
    <row r="55" spans="1:5" x14ac:dyDescent="0.25">
      <c r="A55" t="s">
        <v>55</v>
      </c>
      <c r="B55" t="s">
        <v>562</v>
      </c>
      <c r="C55" t="s">
        <v>417</v>
      </c>
      <c r="D55" t="s">
        <v>455</v>
      </c>
      <c r="E55" t="s">
        <v>572</v>
      </c>
    </row>
    <row r="56" spans="1:5" x14ac:dyDescent="0.25">
      <c r="A56" t="s">
        <v>55</v>
      </c>
      <c r="B56" t="s">
        <v>564</v>
      </c>
      <c r="C56" t="s">
        <v>423</v>
      </c>
      <c r="D56" t="s">
        <v>34</v>
      </c>
      <c r="E56" t="s">
        <v>573</v>
      </c>
    </row>
    <row r="57" spans="1:5" x14ac:dyDescent="0.25">
      <c r="A57" t="s">
        <v>55</v>
      </c>
      <c r="B57" t="s">
        <v>566</v>
      </c>
      <c r="C57" t="s">
        <v>429</v>
      </c>
      <c r="D57" t="s">
        <v>458</v>
      </c>
      <c r="E57" t="s">
        <v>574</v>
      </c>
    </row>
    <row r="58" spans="1:5" x14ac:dyDescent="0.25">
      <c r="A58" t="s">
        <v>55</v>
      </c>
      <c r="B58" t="s">
        <v>568</v>
      </c>
      <c r="C58" t="s">
        <v>435</v>
      </c>
      <c r="D58" t="s">
        <v>460</v>
      </c>
      <c r="E58" t="s">
        <v>575</v>
      </c>
    </row>
    <row r="59" spans="1:5" x14ac:dyDescent="0.25">
      <c r="A59" t="s">
        <v>55</v>
      </c>
      <c r="B59" t="s">
        <v>570</v>
      </c>
      <c r="C59" t="s">
        <v>441</v>
      </c>
      <c r="D59" t="s">
        <v>462</v>
      </c>
      <c r="E59" t="s">
        <v>576</v>
      </c>
    </row>
    <row r="60" spans="1:5" x14ac:dyDescent="0.25">
      <c r="A60" t="s">
        <v>55</v>
      </c>
      <c r="B60" t="s">
        <v>486</v>
      </c>
      <c r="C60" t="s">
        <v>447</v>
      </c>
      <c r="E60" t="s">
        <v>577</v>
      </c>
    </row>
    <row r="61" spans="1:5" x14ac:dyDescent="0.25">
      <c r="A61" t="s">
        <v>578</v>
      </c>
      <c r="B61" t="s">
        <v>579</v>
      </c>
      <c r="C61" t="s">
        <v>579</v>
      </c>
      <c r="D61" t="s">
        <v>455</v>
      </c>
      <c r="E61" t="s">
        <v>580</v>
      </c>
    </row>
    <row r="62" spans="1:5" x14ac:dyDescent="0.25">
      <c r="A62" t="s">
        <v>578</v>
      </c>
      <c r="B62" t="s">
        <v>581</v>
      </c>
      <c r="C62" t="s">
        <v>581</v>
      </c>
      <c r="D62" t="s">
        <v>34</v>
      </c>
      <c r="E62" t="s">
        <v>582</v>
      </c>
    </row>
    <row r="63" spans="1:5" x14ac:dyDescent="0.25">
      <c r="A63" t="s">
        <v>578</v>
      </c>
      <c r="B63" t="s">
        <v>583</v>
      </c>
      <c r="C63" t="s">
        <v>583</v>
      </c>
      <c r="D63" t="s">
        <v>458</v>
      </c>
      <c r="E63" t="s">
        <v>584</v>
      </c>
    </row>
    <row r="64" spans="1:5" x14ac:dyDescent="0.25">
      <c r="A64" t="s">
        <v>578</v>
      </c>
      <c r="B64" t="s">
        <v>585</v>
      </c>
      <c r="C64" t="s">
        <v>585</v>
      </c>
      <c r="D64" t="s">
        <v>460</v>
      </c>
      <c r="E64" t="s">
        <v>586</v>
      </c>
    </row>
    <row r="65" spans="1:5" x14ac:dyDescent="0.25">
      <c r="A65" t="s">
        <v>578</v>
      </c>
      <c r="B65" t="s">
        <v>587</v>
      </c>
      <c r="C65" t="s">
        <v>587</v>
      </c>
      <c r="D65" t="s">
        <v>462</v>
      </c>
      <c r="E65" t="s">
        <v>588</v>
      </c>
    </row>
    <row r="66" spans="1:5" x14ac:dyDescent="0.25">
      <c r="A66" t="s">
        <v>589</v>
      </c>
      <c r="B66" t="s">
        <v>590</v>
      </c>
      <c r="C66" t="s">
        <v>591</v>
      </c>
      <c r="D66" t="s">
        <v>455</v>
      </c>
      <c r="E66" t="s">
        <v>592</v>
      </c>
    </row>
    <row r="67" spans="1:5" x14ac:dyDescent="0.25">
      <c r="A67" t="s">
        <v>589</v>
      </c>
      <c r="B67" t="s">
        <v>593</v>
      </c>
      <c r="C67" t="s">
        <v>594</v>
      </c>
      <c r="D67" t="s">
        <v>460</v>
      </c>
      <c r="E67" t="s">
        <v>595</v>
      </c>
    </row>
    <row r="68" spans="1:5" x14ac:dyDescent="0.25">
      <c r="A68" t="s">
        <v>589</v>
      </c>
      <c r="B68" t="s">
        <v>596</v>
      </c>
      <c r="C68" t="s">
        <v>597</v>
      </c>
      <c r="D68" t="s">
        <v>462</v>
      </c>
      <c r="E68" t="s">
        <v>598</v>
      </c>
    </row>
    <row r="69" spans="1:5" x14ac:dyDescent="0.25">
      <c r="A69" t="s">
        <v>599</v>
      </c>
      <c r="B69" t="s">
        <v>600</v>
      </c>
      <c r="C69" t="s">
        <v>601</v>
      </c>
      <c r="D69" t="s">
        <v>455</v>
      </c>
      <c r="E69" t="s">
        <v>602</v>
      </c>
    </row>
    <row r="70" spans="1:5" x14ac:dyDescent="0.25">
      <c r="A70" t="s">
        <v>599</v>
      </c>
      <c r="B70" t="s">
        <v>603</v>
      </c>
      <c r="C70" t="s">
        <v>603</v>
      </c>
      <c r="D70" t="s">
        <v>34</v>
      </c>
      <c r="E70" t="s">
        <v>604</v>
      </c>
    </row>
    <row r="71" spans="1:5" x14ac:dyDescent="0.25">
      <c r="A71" t="s">
        <v>599</v>
      </c>
      <c r="B71" t="s">
        <v>605</v>
      </c>
      <c r="C71" t="s">
        <v>605</v>
      </c>
      <c r="D71" t="s">
        <v>458</v>
      </c>
      <c r="E71" t="s">
        <v>606</v>
      </c>
    </row>
    <row r="72" spans="1:5" x14ac:dyDescent="0.25">
      <c r="A72" t="s">
        <v>599</v>
      </c>
      <c r="B72" t="s">
        <v>607</v>
      </c>
      <c r="C72" t="s">
        <v>607</v>
      </c>
      <c r="D72" t="s">
        <v>460</v>
      </c>
      <c r="E72" t="s">
        <v>608</v>
      </c>
    </row>
    <row r="73" spans="1:5" x14ac:dyDescent="0.25">
      <c r="A73" t="s">
        <v>599</v>
      </c>
      <c r="B73" t="s">
        <v>609</v>
      </c>
      <c r="C73" t="s">
        <v>609</v>
      </c>
      <c r="D73" t="s">
        <v>462</v>
      </c>
      <c r="E73" t="s">
        <v>610</v>
      </c>
    </row>
    <row r="74" spans="1:5" x14ac:dyDescent="0.25">
      <c r="A74" t="s">
        <v>611</v>
      </c>
      <c r="B74" t="s">
        <v>612</v>
      </c>
      <c r="C74" t="s">
        <v>612</v>
      </c>
      <c r="D74" t="s">
        <v>455</v>
      </c>
      <c r="E74" t="s">
        <v>613</v>
      </c>
    </row>
    <row r="75" spans="1:5" x14ac:dyDescent="0.25">
      <c r="A75" t="s">
        <v>611</v>
      </c>
      <c r="B75" t="s">
        <v>614</v>
      </c>
      <c r="C75" t="s">
        <v>614</v>
      </c>
      <c r="D75" t="s">
        <v>455</v>
      </c>
      <c r="E75" t="s">
        <v>615</v>
      </c>
    </row>
    <row r="76" spans="1:5" x14ac:dyDescent="0.25">
      <c r="A76" t="s">
        <v>611</v>
      </c>
      <c r="B76" t="s">
        <v>616</v>
      </c>
      <c r="C76" t="s">
        <v>616</v>
      </c>
      <c r="D76" t="s">
        <v>455</v>
      </c>
      <c r="E76" t="s">
        <v>617</v>
      </c>
    </row>
    <row r="77" spans="1:5" x14ac:dyDescent="0.25">
      <c r="A77" t="s">
        <v>611</v>
      </c>
      <c r="B77" t="s">
        <v>618</v>
      </c>
      <c r="C77" t="s">
        <v>618</v>
      </c>
      <c r="D77" t="s">
        <v>34</v>
      </c>
      <c r="E77" t="s">
        <v>619</v>
      </c>
    </row>
    <row r="78" spans="1:5" x14ac:dyDescent="0.25">
      <c r="A78" t="s">
        <v>611</v>
      </c>
      <c r="B78" t="s">
        <v>620</v>
      </c>
      <c r="C78" t="s">
        <v>620</v>
      </c>
      <c r="D78" t="s">
        <v>458</v>
      </c>
      <c r="E78" t="s">
        <v>621</v>
      </c>
    </row>
    <row r="79" spans="1:5" x14ac:dyDescent="0.25">
      <c r="A79" t="s">
        <v>611</v>
      </c>
      <c r="B79" t="s">
        <v>622</v>
      </c>
      <c r="C79" t="s">
        <v>622</v>
      </c>
      <c r="D79" t="s">
        <v>460</v>
      </c>
      <c r="E79" t="s">
        <v>623</v>
      </c>
    </row>
    <row r="80" spans="1:5" x14ac:dyDescent="0.25">
      <c r="A80" t="s">
        <v>611</v>
      </c>
      <c r="B80" t="s">
        <v>624</v>
      </c>
      <c r="C80" t="s">
        <v>624</v>
      </c>
      <c r="D80" t="s">
        <v>462</v>
      </c>
      <c r="E80" t="s">
        <v>625</v>
      </c>
    </row>
    <row r="81" spans="1:5" x14ac:dyDescent="0.25">
      <c r="A81" t="s">
        <v>626</v>
      </c>
      <c r="B81" t="s">
        <v>612</v>
      </c>
      <c r="C81" t="s">
        <v>612</v>
      </c>
      <c r="D81" t="s">
        <v>455</v>
      </c>
      <c r="E81" t="s">
        <v>627</v>
      </c>
    </row>
    <row r="82" spans="1:5" x14ac:dyDescent="0.25">
      <c r="A82" t="s">
        <v>626</v>
      </c>
      <c r="B82" t="s">
        <v>614</v>
      </c>
      <c r="C82" t="s">
        <v>614</v>
      </c>
      <c r="D82" t="s">
        <v>455</v>
      </c>
      <c r="E82" t="s">
        <v>628</v>
      </c>
    </row>
    <row r="83" spans="1:5" x14ac:dyDescent="0.25">
      <c r="A83" t="s">
        <v>626</v>
      </c>
      <c r="B83" t="s">
        <v>616</v>
      </c>
      <c r="C83" t="s">
        <v>616</v>
      </c>
      <c r="D83" t="s">
        <v>455</v>
      </c>
      <c r="E83" t="s">
        <v>629</v>
      </c>
    </row>
    <row r="84" spans="1:5" x14ac:dyDescent="0.25">
      <c r="A84" t="s">
        <v>626</v>
      </c>
      <c r="B84" t="s">
        <v>618</v>
      </c>
      <c r="C84" t="s">
        <v>618</v>
      </c>
      <c r="D84" t="s">
        <v>34</v>
      </c>
      <c r="E84" t="s">
        <v>630</v>
      </c>
    </row>
    <row r="85" spans="1:5" x14ac:dyDescent="0.25">
      <c r="A85" t="s">
        <v>626</v>
      </c>
      <c r="B85" t="s">
        <v>620</v>
      </c>
      <c r="C85" t="s">
        <v>620</v>
      </c>
      <c r="D85" t="s">
        <v>458</v>
      </c>
      <c r="E85" t="s">
        <v>631</v>
      </c>
    </row>
    <row r="86" spans="1:5" x14ac:dyDescent="0.25">
      <c r="A86" t="s">
        <v>626</v>
      </c>
      <c r="B86" t="s">
        <v>622</v>
      </c>
      <c r="C86" t="s">
        <v>622</v>
      </c>
      <c r="D86" t="s">
        <v>460</v>
      </c>
      <c r="E86" t="s">
        <v>632</v>
      </c>
    </row>
    <row r="87" spans="1:5" x14ac:dyDescent="0.25">
      <c r="A87" t="s">
        <v>626</v>
      </c>
      <c r="B87" t="s">
        <v>624</v>
      </c>
      <c r="C87" t="s">
        <v>624</v>
      </c>
      <c r="D87" t="s">
        <v>462</v>
      </c>
      <c r="E87" t="s">
        <v>633</v>
      </c>
    </row>
    <row r="88" spans="1:5" x14ac:dyDescent="0.25">
      <c r="A88" t="s">
        <v>626</v>
      </c>
      <c r="B88" t="s">
        <v>634</v>
      </c>
      <c r="C88" t="s">
        <v>634</v>
      </c>
      <c r="E88" t="s">
        <v>635</v>
      </c>
    </row>
    <row r="89" spans="1:5" x14ac:dyDescent="0.25">
      <c r="A89" t="s">
        <v>636</v>
      </c>
      <c r="B89" t="s">
        <v>612</v>
      </c>
      <c r="C89" t="s">
        <v>612</v>
      </c>
      <c r="D89" t="s">
        <v>455</v>
      </c>
      <c r="E89" t="s">
        <v>637</v>
      </c>
    </row>
    <row r="90" spans="1:5" x14ac:dyDescent="0.25">
      <c r="A90" t="s">
        <v>636</v>
      </c>
      <c r="B90" t="s">
        <v>614</v>
      </c>
      <c r="C90" t="s">
        <v>614</v>
      </c>
      <c r="D90" t="s">
        <v>455</v>
      </c>
      <c r="E90" t="s">
        <v>638</v>
      </c>
    </row>
    <row r="91" spans="1:5" x14ac:dyDescent="0.25">
      <c r="A91" t="s">
        <v>636</v>
      </c>
      <c r="B91" t="s">
        <v>616</v>
      </c>
      <c r="C91" t="s">
        <v>616</v>
      </c>
      <c r="D91" t="s">
        <v>34</v>
      </c>
      <c r="E91" t="s">
        <v>639</v>
      </c>
    </row>
    <row r="92" spans="1:5" x14ac:dyDescent="0.25">
      <c r="A92" t="s">
        <v>636</v>
      </c>
      <c r="B92" t="s">
        <v>618</v>
      </c>
      <c r="C92" t="s">
        <v>618</v>
      </c>
      <c r="D92" t="s">
        <v>458</v>
      </c>
      <c r="E92" t="s">
        <v>640</v>
      </c>
    </row>
    <row r="93" spans="1:5" x14ac:dyDescent="0.25">
      <c r="A93" t="s">
        <v>636</v>
      </c>
      <c r="B93" t="s">
        <v>620</v>
      </c>
      <c r="C93" t="s">
        <v>620</v>
      </c>
      <c r="D93" t="s">
        <v>460</v>
      </c>
      <c r="E93" t="s">
        <v>641</v>
      </c>
    </row>
    <row r="94" spans="1:5" x14ac:dyDescent="0.25">
      <c r="A94" t="s">
        <v>636</v>
      </c>
      <c r="B94" t="s">
        <v>622</v>
      </c>
      <c r="C94" t="s">
        <v>622</v>
      </c>
      <c r="D94" t="s">
        <v>498</v>
      </c>
      <c r="E94" t="s">
        <v>642</v>
      </c>
    </row>
    <row r="95" spans="1:5" x14ac:dyDescent="0.25">
      <c r="A95" t="s">
        <v>636</v>
      </c>
      <c r="B95" t="s">
        <v>624</v>
      </c>
      <c r="C95" t="s">
        <v>624</v>
      </c>
      <c r="D95" t="s">
        <v>462</v>
      </c>
      <c r="E95" t="s">
        <v>643</v>
      </c>
    </row>
    <row r="96" spans="1:5" x14ac:dyDescent="0.25">
      <c r="A96" t="s">
        <v>636</v>
      </c>
      <c r="B96" t="s">
        <v>634</v>
      </c>
      <c r="C96" t="s">
        <v>634</v>
      </c>
      <c r="E96" t="s">
        <v>644</v>
      </c>
    </row>
    <row r="97" spans="1:5" x14ac:dyDescent="0.25">
      <c r="A97" t="s">
        <v>645</v>
      </c>
      <c r="B97" t="s">
        <v>612</v>
      </c>
      <c r="C97" t="s">
        <v>612</v>
      </c>
      <c r="D97" t="s">
        <v>455</v>
      </c>
      <c r="E97" t="s">
        <v>646</v>
      </c>
    </row>
    <row r="98" spans="1:5" x14ac:dyDescent="0.25">
      <c r="A98" t="s">
        <v>645</v>
      </c>
      <c r="B98" t="s">
        <v>614</v>
      </c>
      <c r="C98" t="s">
        <v>614</v>
      </c>
      <c r="D98" t="s">
        <v>455</v>
      </c>
      <c r="E98" t="s">
        <v>647</v>
      </c>
    </row>
    <row r="99" spans="1:5" x14ac:dyDescent="0.25">
      <c r="A99" t="s">
        <v>645</v>
      </c>
      <c r="B99" t="s">
        <v>616</v>
      </c>
      <c r="C99" t="s">
        <v>616</v>
      </c>
      <c r="D99" t="s">
        <v>455</v>
      </c>
      <c r="E99" t="s">
        <v>648</v>
      </c>
    </row>
    <row r="100" spans="1:5" x14ac:dyDescent="0.25">
      <c r="A100" t="s">
        <v>645</v>
      </c>
      <c r="B100" t="s">
        <v>618</v>
      </c>
      <c r="C100" t="s">
        <v>618</v>
      </c>
      <c r="D100" t="s">
        <v>458</v>
      </c>
      <c r="E100" t="s">
        <v>649</v>
      </c>
    </row>
    <row r="101" spans="1:5" x14ac:dyDescent="0.25">
      <c r="A101" t="s">
        <v>645</v>
      </c>
      <c r="B101" t="s">
        <v>620</v>
      </c>
      <c r="C101" t="s">
        <v>620</v>
      </c>
      <c r="D101" t="s">
        <v>460</v>
      </c>
      <c r="E101" t="s">
        <v>650</v>
      </c>
    </row>
    <row r="102" spans="1:5" x14ac:dyDescent="0.25">
      <c r="A102" t="s">
        <v>645</v>
      </c>
      <c r="B102" t="s">
        <v>622</v>
      </c>
      <c r="C102" t="s">
        <v>622</v>
      </c>
      <c r="D102" t="s">
        <v>498</v>
      </c>
      <c r="E102" t="s">
        <v>651</v>
      </c>
    </row>
    <row r="103" spans="1:5" x14ac:dyDescent="0.25">
      <c r="A103" t="s">
        <v>645</v>
      </c>
      <c r="B103" t="s">
        <v>624</v>
      </c>
      <c r="C103" t="s">
        <v>624</v>
      </c>
      <c r="D103" t="s">
        <v>462</v>
      </c>
      <c r="E103" t="s">
        <v>652</v>
      </c>
    </row>
    <row r="104" spans="1:5" x14ac:dyDescent="0.25">
      <c r="A104" t="s">
        <v>645</v>
      </c>
      <c r="B104" t="s">
        <v>634</v>
      </c>
      <c r="C104" t="s">
        <v>634</v>
      </c>
      <c r="E104" t="s">
        <v>653</v>
      </c>
    </row>
    <row r="105" spans="1:5" x14ac:dyDescent="0.25">
      <c r="A105" t="s">
        <v>654</v>
      </c>
      <c r="B105" t="s">
        <v>655</v>
      </c>
      <c r="C105" t="s">
        <v>656</v>
      </c>
      <c r="D105" t="s">
        <v>455</v>
      </c>
      <c r="E105" t="s">
        <v>657</v>
      </c>
    </row>
    <row r="106" spans="1:5" x14ac:dyDescent="0.25">
      <c r="A106" t="s">
        <v>654</v>
      </c>
      <c r="B106" t="s">
        <v>658</v>
      </c>
      <c r="C106" t="s">
        <v>659</v>
      </c>
      <c r="D106" t="s">
        <v>34</v>
      </c>
      <c r="E106" t="s">
        <v>660</v>
      </c>
    </row>
    <row r="107" spans="1:5" x14ac:dyDescent="0.25">
      <c r="A107" t="s">
        <v>654</v>
      </c>
      <c r="B107" t="s">
        <v>661</v>
      </c>
      <c r="C107" t="s">
        <v>662</v>
      </c>
      <c r="D107" t="s">
        <v>458</v>
      </c>
      <c r="E107" t="s">
        <v>663</v>
      </c>
    </row>
    <row r="108" spans="1:5" x14ac:dyDescent="0.25">
      <c r="A108" t="s">
        <v>654</v>
      </c>
      <c r="B108" t="s">
        <v>664</v>
      </c>
      <c r="C108" t="s">
        <v>665</v>
      </c>
      <c r="D108" t="s">
        <v>460</v>
      </c>
      <c r="E108" t="s">
        <v>666</v>
      </c>
    </row>
    <row r="109" spans="1:5" x14ac:dyDescent="0.25">
      <c r="A109" t="s">
        <v>654</v>
      </c>
      <c r="B109" t="s">
        <v>667</v>
      </c>
      <c r="C109" t="s">
        <v>668</v>
      </c>
      <c r="D109" t="s">
        <v>462</v>
      </c>
      <c r="E109" t="s">
        <v>669</v>
      </c>
    </row>
    <row r="110" spans="1:5" x14ac:dyDescent="0.25">
      <c r="A110" t="s">
        <v>670</v>
      </c>
      <c r="B110" t="s">
        <v>671</v>
      </c>
      <c r="C110" t="s">
        <v>671</v>
      </c>
      <c r="D110" t="s">
        <v>455</v>
      </c>
      <c r="E110" t="s">
        <v>672</v>
      </c>
    </row>
    <row r="111" spans="1:5" x14ac:dyDescent="0.25">
      <c r="A111" t="s">
        <v>670</v>
      </c>
      <c r="B111" t="s">
        <v>673</v>
      </c>
      <c r="C111" t="s">
        <v>673</v>
      </c>
      <c r="D111" t="s">
        <v>455</v>
      </c>
      <c r="E111" t="s">
        <v>674</v>
      </c>
    </row>
    <row r="112" spans="1:5" x14ac:dyDescent="0.25">
      <c r="A112" t="s">
        <v>670</v>
      </c>
      <c r="B112" t="s">
        <v>675</v>
      </c>
      <c r="C112" t="s">
        <v>675</v>
      </c>
      <c r="D112" t="s">
        <v>455</v>
      </c>
      <c r="E112" t="s">
        <v>676</v>
      </c>
    </row>
    <row r="113" spans="1:5" x14ac:dyDescent="0.25">
      <c r="A113" t="s">
        <v>670</v>
      </c>
      <c r="B113" t="s">
        <v>677</v>
      </c>
      <c r="C113" t="s">
        <v>677</v>
      </c>
      <c r="D113" t="s">
        <v>462</v>
      </c>
      <c r="E113" t="s">
        <v>678</v>
      </c>
    </row>
    <row r="114" spans="1:5" x14ac:dyDescent="0.25">
      <c r="A114" t="s">
        <v>670</v>
      </c>
      <c r="B114" t="s">
        <v>679</v>
      </c>
      <c r="C114" t="s">
        <v>679</v>
      </c>
      <c r="D114" t="s">
        <v>462</v>
      </c>
      <c r="E114" t="s">
        <v>680</v>
      </c>
    </row>
    <row r="115" spans="1:5" x14ac:dyDescent="0.25">
      <c r="A115" t="s">
        <v>681</v>
      </c>
      <c r="B115" t="s">
        <v>682</v>
      </c>
      <c r="C115" t="s">
        <v>683</v>
      </c>
      <c r="D115" t="s">
        <v>455</v>
      </c>
      <c r="E115" t="s">
        <v>684</v>
      </c>
    </row>
    <row r="116" spans="1:5" x14ac:dyDescent="0.25">
      <c r="A116" t="s">
        <v>681</v>
      </c>
      <c r="B116" t="s">
        <v>685</v>
      </c>
      <c r="C116" t="s">
        <v>686</v>
      </c>
      <c r="D116" t="s">
        <v>34</v>
      </c>
      <c r="E116" t="s">
        <v>687</v>
      </c>
    </row>
    <row r="117" spans="1:5" x14ac:dyDescent="0.25">
      <c r="A117" t="s">
        <v>681</v>
      </c>
      <c r="B117" t="s">
        <v>688</v>
      </c>
      <c r="C117" t="s">
        <v>689</v>
      </c>
      <c r="D117" t="s">
        <v>458</v>
      </c>
      <c r="E117" t="s">
        <v>690</v>
      </c>
    </row>
    <row r="118" spans="1:5" x14ac:dyDescent="0.25">
      <c r="A118" t="s">
        <v>681</v>
      </c>
      <c r="B118" t="s">
        <v>691</v>
      </c>
      <c r="C118" t="s">
        <v>692</v>
      </c>
      <c r="D118" t="s">
        <v>460</v>
      </c>
      <c r="E118" t="s">
        <v>693</v>
      </c>
    </row>
    <row r="119" spans="1:5" x14ac:dyDescent="0.25">
      <c r="A119" t="s">
        <v>681</v>
      </c>
      <c r="B119" t="s">
        <v>694</v>
      </c>
      <c r="C119" t="s">
        <v>695</v>
      </c>
      <c r="D119" t="s">
        <v>462</v>
      </c>
      <c r="E119" t="s">
        <v>696</v>
      </c>
    </row>
    <row r="120" spans="1:5" x14ac:dyDescent="0.25">
      <c r="A120" t="s">
        <v>697</v>
      </c>
      <c r="B120" t="s">
        <v>698</v>
      </c>
      <c r="C120" t="s">
        <v>698</v>
      </c>
      <c r="D120" t="s">
        <v>455</v>
      </c>
      <c r="E120" t="s">
        <v>699</v>
      </c>
    </row>
    <row r="121" spans="1:5" x14ac:dyDescent="0.25">
      <c r="A121" t="s">
        <v>697</v>
      </c>
      <c r="B121" t="s">
        <v>700</v>
      </c>
      <c r="C121" t="s">
        <v>700</v>
      </c>
      <c r="D121" t="s">
        <v>458</v>
      </c>
      <c r="E121" t="s">
        <v>701</v>
      </c>
    </row>
    <row r="122" spans="1:5" x14ac:dyDescent="0.25">
      <c r="A122" t="s">
        <v>697</v>
      </c>
      <c r="B122" t="s">
        <v>702</v>
      </c>
      <c r="C122" t="s">
        <v>702</v>
      </c>
      <c r="D122" t="s">
        <v>498</v>
      </c>
      <c r="E122" t="s">
        <v>703</v>
      </c>
    </row>
    <row r="123" spans="1:5" x14ac:dyDescent="0.25">
      <c r="A123" t="s">
        <v>704</v>
      </c>
      <c r="B123" t="s">
        <v>705</v>
      </c>
      <c r="C123" t="s">
        <v>705</v>
      </c>
      <c r="D123" t="s">
        <v>455</v>
      </c>
      <c r="E123" t="s">
        <v>706</v>
      </c>
    </row>
    <row r="124" spans="1:5" x14ac:dyDescent="0.25">
      <c r="A124" t="s">
        <v>704</v>
      </c>
      <c r="B124" t="s">
        <v>707</v>
      </c>
      <c r="C124" t="s">
        <v>707</v>
      </c>
      <c r="D124" t="s">
        <v>34</v>
      </c>
      <c r="E124" t="s">
        <v>708</v>
      </c>
    </row>
    <row r="125" spans="1:5" x14ac:dyDescent="0.25">
      <c r="A125" t="s">
        <v>704</v>
      </c>
      <c r="B125" t="s">
        <v>709</v>
      </c>
      <c r="C125" t="s">
        <v>709</v>
      </c>
      <c r="D125" t="s">
        <v>458</v>
      </c>
      <c r="E125" t="s">
        <v>710</v>
      </c>
    </row>
    <row r="126" spans="1:5" x14ac:dyDescent="0.25">
      <c r="A126" t="s">
        <v>704</v>
      </c>
      <c r="B126" t="s">
        <v>711</v>
      </c>
      <c r="C126" t="s">
        <v>711</v>
      </c>
      <c r="D126" t="s">
        <v>460</v>
      </c>
      <c r="E126" t="s">
        <v>712</v>
      </c>
    </row>
    <row r="127" spans="1:5" x14ac:dyDescent="0.25">
      <c r="A127" t="s">
        <v>704</v>
      </c>
      <c r="B127" t="s">
        <v>713</v>
      </c>
      <c r="C127" t="s">
        <v>713</v>
      </c>
      <c r="D127" t="s">
        <v>498</v>
      </c>
      <c r="E127" t="s">
        <v>714</v>
      </c>
    </row>
    <row r="128" spans="1:5" x14ac:dyDescent="0.25">
      <c r="A128" t="s">
        <v>715</v>
      </c>
      <c r="B128" t="s">
        <v>705</v>
      </c>
      <c r="C128" t="s">
        <v>705</v>
      </c>
      <c r="D128" t="s">
        <v>455</v>
      </c>
      <c r="E128" t="s">
        <v>716</v>
      </c>
    </row>
    <row r="129" spans="1:5" x14ac:dyDescent="0.25">
      <c r="A129" t="s">
        <v>715</v>
      </c>
      <c r="B129" t="s">
        <v>707</v>
      </c>
      <c r="C129" t="s">
        <v>707</v>
      </c>
      <c r="D129" t="s">
        <v>34</v>
      </c>
      <c r="E129" t="s">
        <v>717</v>
      </c>
    </row>
    <row r="130" spans="1:5" x14ac:dyDescent="0.25">
      <c r="A130" t="s">
        <v>715</v>
      </c>
      <c r="B130" t="s">
        <v>709</v>
      </c>
      <c r="C130" t="s">
        <v>709</v>
      </c>
      <c r="D130" t="s">
        <v>458</v>
      </c>
      <c r="E130" t="s">
        <v>718</v>
      </c>
    </row>
    <row r="131" spans="1:5" x14ac:dyDescent="0.25">
      <c r="A131" t="s">
        <v>715</v>
      </c>
      <c r="B131" t="s">
        <v>711</v>
      </c>
      <c r="C131" t="s">
        <v>711</v>
      </c>
      <c r="D131" t="s">
        <v>460</v>
      </c>
      <c r="E131" t="s">
        <v>719</v>
      </c>
    </row>
    <row r="132" spans="1:5" x14ac:dyDescent="0.25">
      <c r="A132" t="s">
        <v>715</v>
      </c>
      <c r="B132" t="s">
        <v>713</v>
      </c>
      <c r="C132" t="s">
        <v>713</v>
      </c>
      <c r="D132" t="s">
        <v>498</v>
      </c>
      <c r="E132" t="s">
        <v>720</v>
      </c>
    </row>
    <row r="133" spans="1:5" x14ac:dyDescent="0.25">
      <c r="A133" t="s">
        <v>715</v>
      </c>
      <c r="B133" t="s">
        <v>721</v>
      </c>
      <c r="C133" t="s">
        <v>721</v>
      </c>
      <c r="E133" t="s">
        <v>722</v>
      </c>
    </row>
    <row r="134" spans="1:5" x14ac:dyDescent="0.25">
      <c r="A134" t="s">
        <v>223</v>
      </c>
      <c r="B134" t="s">
        <v>421</v>
      </c>
      <c r="C134" t="s">
        <v>421</v>
      </c>
      <c r="D134" t="s">
        <v>455</v>
      </c>
      <c r="E134" t="s">
        <v>723</v>
      </c>
    </row>
    <row r="135" spans="1:5" x14ac:dyDescent="0.25">
      <c r="A135" t="s">
        <v>223</v>
      </c>
      <c r="B135" t="s">
        <v>427</v>
      </c>
      <c r="C135" t="s">
        <v>427</v>
      </c>
      <c r="D135" t="s">
        <v>34</v>
      </c>
      <c r="E135" t="s">
        <v>724</v>
      </c>
    </row>
    <row r="136" spans="1:5" x14ac:dyDescent="0.25">
      <c r="A136" t="s">
        <v>223</v>
      </c>
      <c r="B136" t="s">
        <v>433</v>
      </c>
      <c r="C136" t="s">
        <v>433</v>
      </c>
      <c r="D136" t="s">
        <v>458</v>
      </c>
      <c r="E136" t="s">
        <v>725</v>
      </c>
    </row>
    <row r="137" spans="1:5" x14ac:dyDescent="0.25">
      <c r="A137" t="s">
        <v>223</v>
      </c>
      <c r="B137" t="s">
        <v>439</v>
      </c>
      <c r="C137" t="s">
        <v>439</v>
      </c>
      <c r="D137" t="s">
        <v>460</v>
      </c>
      <c r="E137" t="s">
        <v>726</v>
      </c>
    </row>
    <row r="138" spans="1:5" x14ac:dyDescent="0.25">
      <c r="A138" t="s">
        <v>223</v>
      </c>
      <c r="B138" t="s">
        <v>445</v>
      </c>
      <c r="C138" t="s">
        <v>445</v>
      </c>
      <c r="D138" t="s">
        <v>462</v>
      </c>
      <c r="E138" t="s">
        <v>727</v>
      </c>
    </row>
    <row r="139" spans="1:5" x14ac:dyDescent="0.25">
      <c r="A139" t="s">
        <v>728</v>
      </c>
      <c r="B139" t="s">
        <v>421</v>
      </c>
      <c r="C139" t="s">
        <v>421</v>
      </c>
      <c r="D139" t="s">
        <v>455</v>
      </c>
      <c r="E139" t="s">
        <v>729</v>
      </c>
    </row>
    <row r="140" spans="1:5" x14ac:dyDescent="0.25">
      <c r="A140" t="s">
        <v>728</v>
      </c>
      <c r="B140" t="s">
        <v>427</v>
      </c>
      <c r="C140" t="s">
        <v>427</v>
      </c>
      <c r="D140" t="s">
        <v>34</v>
      </c>
      <c r="E140" t="s">
        <v>730</v>
      </c>
    </row>
    <row r="141" spans="1:5" x14ac:dyDescent="0.25">
      <c r="A141" t="s">
        <v>728</v>
      </c>
      <c r="B141" t="s">
        <v>433</v>
      </c>
      <c r="C141" t="s">
        <v>433</v>
      </c>
      <c r="D141" t="s">
        <v>458</v>
      </c>
      <c r="E141" t="s">
        <v>731</v>
      </c>
    </row>
    <row r="142" spans="1:5" x14ac:dyDescent="0.25">
      <c r="A142" t="s">
        <v>728</v>
      </c>
      <c r="B142" t="s">
        <v>439</v>
      </c>
      <c r="C142" t="s">
        <v>439</v>
      </c>
      <c r="D142" t="s">
        <v>460</v>
      </c>
      <c r="E142" t="s">
        <v>732</v>
      </c>
    </row>
    <row r="143" spans="1:5" x14ac:dyDescent="0.25">
      <c r="A143" t="s">
        <v>728</v>
      </c>
      <c r="B143" t="s">
        <v>733</v>
      </c>
      <c r="C143" t="s">
        <v>733</v>
      </c>
      <c r="D143" t="s">
        <v>462</v>
      </c>
      <c r="E143" t="s">
        <v>734</v>
      </c>
    </row>
    <row r="144" spans="1:5" x14ac:dyDescent="0.25">
      <c r="A144" t="s">
        <v>728</v>
      </c>
      <c r="B144" t="s">
        <v>735</v>
      </c>
      <c r="C144" t="s">
        <v>735</v>
      </c>
      <c r="E144" t="s">
        <v>736</v>
      </c>
    </row>
    <row r="145" spans="1:5" x14ac:dyDescent="0.25">
      <c r="A145" t="s">
        <v>121</v>
      </c>
      <c r="B145" t="s">
        <v>420</v>
      </c>
      <c r="C145" t="s">
        <v>420</v>
      </c>
      <c r="D145" t="s">
        <v>455</v>
      </c>
      <c r="E145" t="s">
        <v>737</v>
      </c>
    </row>
    <row r="146" spans="1:5" x14ac:dyDescent="0.25">
      <c r="A146" t="s">
        <v>121</v>
      </c>
      <c r="B146" t="s">
        <v>426</v>
      </c>
      <c r="C146" t="s">
        <v>426</v>
      </c>
      <c r="D146" t="s">
        <v>455</v>
      </c>
      <c r="E146" t="s">
        <v>738</v>
      </c>
    </row>
    <row r="147" spans="1:5" x14ac:dyDescent="0.25">
      <c r="A147" t="s">
        <v>121</v>
      </c>
      <c r="B147" t="s">
        <v>432</v>
      </c>
      <c r="C147" t="s">
        <v>432</v>
      </c>
      <c r="D147" t="s">
        <v>455</v>
      </c>
      <c r="E147" t="s">
        <v>739</v>
      </c>
    </row>
    <row r="148" spans="1:5" x14ac:dyDescent="0.25">
      <c r="A148" t="s">
        <v>121</v>
      </c>
      <c r="B148" t="s">
        <v>438</v>
      </c>
      <c r="C148" t="s">
        <v>438</v>
      </c>
      <c r="D148" t="s">
        <v>34</v>
      </c>
      <c r="E148" t="s">
        <v>740</v>
      </c>
    </row>
    <row r="149" spans="1:5" x14ac:dyDescent="0.25">
      <c r="A149" t="s">
        <v>121</v>
      </c>
      <c r="B149" t="s">
        <v>444</v>
      </c>
      <c r="C149" t="s">
        <v>444</v>
      </c>
      <c r="D149" t="s">
        <v>458</v>
      </c>
      <c r="E149" t="s">
        <v>741</v>
      </c>
    </row>
    <row r="150" spans="1:5" x14ac:dyDescent="0.25">
      <c r="A150" t="s">
        <v>121</v>
      </c>
      <c r="B150" t="s">
        <v>449</v>
      </c>
      <c r="C150" t="s">
        <v>449</v>
      </c>
      <c r="D150" t="s">
        <v>460</v>
      </c>
      <c r="E150" t="s">
        <v>742</v>
      </c>
    </row>
    <row r="151" spans="1:5" x14ac:dyDescent="0.25">
      <c r="A151" t="s">
        <v>121</v>
      </c>
      <c r="B151" t="s">
        <v>450</v>
      </c>
      <c r="C151" t="s">
        <v>450</v>
      </c>
      <c r="D151" t="s">
        <v>462</v>
      </c>
      <c r="E151" t="s">
        <v>743</v>
      </c>
    </row>
    <row r="152" spans="1:5" x14ac:dyDescent="0.25">
      <c r="A152" t="s">
        <v>744</v>
      </c>
      <c r="B152" t="s">
        <v>420</v>
      </c>
      <c r="C152" t="s">
        <v>420</v>
      </c>
      <c r="D152" t="s">
        <v>455</v>
      </c>
      <c r="E152" t="s">
        <v>745</v>
      </c>
    </row>
    <row r="153" spans="1:5" x14ac:dyDescent="0.25">
      <c r="A153" t="s">
        <v>744</v>
      </c>
      <c r="B153" t="s">
        <v>426</v>
      </c>
      <c r="C153" t="s">
        <v>426</v>
      </c>
      <c r="D153" t="s">
        <v>455</v>
      </c>
      <c r="E153" t="s">
        <v>746</v>
      </c>
    </row>
    <row r="154" spans="1:5" x14ac:dyDescent="0.25">
      <c r="A154" t="s">
        <v>744</v>
      </c>
      <c r="B154" t="s">
        <v>432</v>
      </c>
      <c r="C154" t="s">
        <v>432</v>
      </c>
      <c r="D154" t="s">
        <v>455</v>
      </c>
      <c r="E154" t="s">
        <v>747</v>
      </c>
    </row>
    <row r="155" spans="1:5" x14ac:dyDescent="0.25">
      <c r="A155" t="s">
        <v>744</v>
      </c>
      <c r="B155" t="s">
        <v>438</v>
      </c>
      <c r="C155" t="s">
        <v>438</v>
      </c>
      <c r="D155" t="s">
        <v>34</v>
      </c>
      <c r="E155" t="s">
        <v>748</v>
      </c>
    </row>
    <row r="156" spans="1:5" x14ac:dyDescent="0.25">
      <c r="A156" t="s">
        <v>744</v>
      </c>
      <c r="B156" t="s">
        <v>444</v>
      </c>
      <c r="C156" t="s">
        <v>444</v>
      </c>
      <c r="D156" t="s">
        <v>458</v>
      </c>
      <c r="E156" t="s">
        <v>749</v>
      </c>
    </row>
    <row r="157" spans="1:5" x14ac:dyDescent="0.25">
      <c r="A157" t="s">
        <v>744</v>
      </c>
      <c r="B157" t="s">
        <v>449</v>
      </c>
      <c r="C157" t="s">
        <v>449</v>
      </c>
      <c r="D157" t="s">
        <v>460</v>
      </c>
      <c r="E157" t="s">
        <v>750</v>
      </c>
    </row>
    <row r="158" spans="1:5" x14ac:dyDescent="0.25">
      <c r="A158" t="s">
        <v>744</v>
      </c>
      <c r="B158" t="s">
        <v>450</v>
      </c>
      <c r="C158" t="s">
        <v>450</v>
      </c>
      <c r="D158" t="s">
        <v>462</v>
      </c>
      <c r="E158" t="s">
        <v>751</v>
      </c>
    </row>
    <row r="159" spans="1:5" x14ac:dyDescent="0.25">
      <c r="A159" t="s">
        <v>744</v>
      </c>
      <c r="B159" t="s">
        <v>735</v>
      </c>
      <c r="C159" t="s">
        <v>735</v>
      </c>
      <c r="E159" t="s">
        <v>752</v>
      </c>
    </row>
    <row r="160" spans="1:5" x14ac:dyDescent="0.25">
      <c r="A160" t="s">
        <v>98</v>
      </c>
      <c r="B160" t="s">
        <v>753</v>
      </c>
      <c r="C160" t="s">
        <v>419</v>
      </c>
      <c r="D160" t="s">
        <v>455</v>
      </c>
      <c r="E160" t="s">
        <v>754</v>
      </c>
    </row>
    <row r="161" spans="1:5" x14ac:dyDescent="0.25">
      <c r="A161" t="s">
        <v>98</v>
      </c>
      <c r="B161" t="s">
        <v>425</v>
      </c>
      <c r="C161" t="s">
        <v>425</v>
      </c>
      <c r="D161" t="s">
        <v>34</v>
      </c>
      <c r="E161" t="s">
        <v>755</v>
      </c>
    </row>
    <row r="162" spans="1:5" x14ac:dyDescent="0.25">
      <c r="A162" t="s">
        <v>98</v>
      </c>
      <c r="B162" t="s">
        <v>431</v>
      </c>
      <c r="C162" t="s">
        <v>431</v>
      </c>
      <c r="D162" t="s">
        <v>458</v>
      </c>
      <c r="E162" t="s">
        <v>756</v>
      </c>
    </row>
    <row r="163" spans="1:5" x14ac:dyDescent="0.25">
      <c r="A163" t="s">
        <v>98</v>
      </c>
      <c r="B163" t="s">
        <v>757</v>
      </c>
      <c r="C163" t="s">
        <v>437</v>
      </c>
      <c r="D163" t="s">
        <v>460</v>
      </c>
      <c r="E163" t="s">
        <v>758</v>
      </c>
    </row>
    <row r="164" spans="1:5" x14ac:dyDescent="0.25">
      <c r="A164" t="s">
        <v>98</v>
      </c>
      <c r="B164" t="s">
        <v>443</v>
      </c>
      <c r="C164" t="s">
        <v>443</v>
      </c>
      <c r="D164" t="s">
        <v>462</v>
      </c>
      <c r="E164" t="s">
        <v>759</v>
      </c>
    </row>
    <row r="165" spans="1:5" x14ac:dyDescent="0.25">
      <c r="A165" t="s">
        <v>760</v>
      </c>
      <c r="B165" t="s">
        <v>753</v>
      </c>
      <c r="C165" t="s">
        <v>419</v>
      </c>
      <c r="D165" t="s">
        <v>455</v>
      </c>
      <c r="E165" t="s">
        <v>761</v>
      </c>
    </row>
    <row r="166" spans="1:5" x14ac:dyDescent="0.25">
      <c r="A166" t="s">
        <v>760</v>
      </c>
      <c r="B166" t="s">
        <v>425</v>
      </c>
      <c r="C166" t="s">
        <v>425</v>
      </c>
      <c r="D166" t="s">
        <v>34</v>
      </c>
      <c r="E166" t="s">
        <v>762</v>
      </c>
    </row>
    <row r="167" spans="1:5" x14ac:dyDescent="0.25">
      <c r="A167" t="s">
        <v>760</v>
      </c>
      <c r="B167" t="s">
        <v>431</v>
      </c>
      <c r="C167" t="s">
        <v>431</v>
      </c>
      <c r="D167" t="s">
        <v>458</v>
      </c>
      <c r="E167" t="s">
        <v>763</v>
      </c>
    </row>
    <row r="168" spans="1:5" x14ac:dyDescent="0.25">
      <c r="A168" t="s">
        <v>760</v>
      </c>
      <c r="B168" t="s">
        <v>757</v>
      </c>
      <c r="C168" t="s">
        <v>437</v>
      </c>
      <c r="D168" t="s">
        <v>460</v>
      </c>
      <c r="E168" t="s">
        <v>764</v>
      </c>
    </row>
    <row r="169" spans="1:5" x14ac:dyDescent="0.25">
      <c r="A169" t="s">
        <v>760</v>
      </c>
      <c r="B169" t="s">
        <v>443</v>
      </c>
      <c r="C169" t="s">
        <v>443</v>
      </c>
      <c r="D169" t="s">
        <v>462</v>
      </c>
      <c r="E169" t="s">
        <v>765</v>
      </c>
    </row>
    <row r="170" spans="1:5" x14ac:dyDescent="0.25">
      <c r="A170" t="s">
        <v>760</v>
      </c>
      <c r="B170" t="s">
        <v>735</v>
      </c>
      <c r="C170" t="s">
        <v>735</v>
      </c>
      <c r="E170" t="s">
        <v>766</v>
      </c>
    </row>
    <row r="171" spans="1:5" x14ac:dyDescent="0.25">
      <c r="A171" t="s">
        <v>767</v>
      </c>
      <c r="B171" t="s">
        <v>768</v>
      </c>
      <c r="C171" t="s">
        <v>768</v>
      </c>
      <c r="D171" t="s">
        <v>455</v>
      </c>
      <c r="E171" t="s">
        <v>769</v>
      </c>
    </row>
    <row r="172" spans="1:5" x14ac:dyDescent="0.25">
      <c r="A172" t="s">
        <v>767</v>
      </c>
      <c r="B172" t="s">
        <v>770</v>
      </c>
      <c r="C172" t="s">
        <v>770</v>
      </c>
      <c r="D172" t="s">
        <v>34</v>
      </c>
      <c r="E172" t="s">
        <v>771</v>
      </c>
    </row>
    <row r="173" spans="1:5" x14ac:dyDescent="0.25">
      <c r="A173" t="s">
        <v>767</v>
      </c>
      <c r="B173" t="s">
        <v>772</v>
      </c>
      <c r="C173" t="s">
        <v>772</v>
      </c>
      <c r="D173" t="s">
        <v>458</v>
      </c>
      <c r="E173" t="s">
        <v>773</v>
      </c>
    </row>
    <row r="174" spans="1:5" x14ac:dyDescent="0.25">
      <c r="A174" t="s">
        <v>767</v>
      </c>
      <c r="B174" t="s">
        <v>774</v>
      </c>
      <c r="C174" t="s">
        <v>774</v>
      </c>
      <c r="D174" t="s">
        <v>460</v>
      </c>
      <c r="E174" t="s">
        <v>775</v>
      </c>
    </row>
    <row r="175" spans="1:5" x14ac:dyDescent="0.25">
      <c r="A175" t="s">
        <v>767</v>
      </c>
      <c r="B175" t="s">
        <v>776</v>
      </c>
      <c r="C175" t="s">
        <v>776</v>
      </c>
      <c r="D175" t="s">
        <v>462</v>
      </c>
      <c r="E175" t="s">
        <v>777</v>
      </c>
    </row>
    <row r="176" spans="1:5" x14ac:dyDescent="0.25">
      <c r="A176" t="s">
        <v>778</v>
      </c>
      <c r="B176" t="s">
        <v>779</v>
      </c>
      <c r="C176" t="s">
        <v>779</v>
      </c>
      <c r="D176" t="s">
        <v>455</v>
      </c>
      <c r="E176" t="s">
        <v>780</v>
      </c>
    </row>
    <row r="177" spans="1:5" x14ac:dyDescent="0.25">
      <c r="A177" t="s">
        <v>778</v>
      </c>
      <c r="B177" t="s">
        <v>781</v>
      </c>
      <c r="C177" t="s">
        <v>781</v>
      </c>
      <c r="D177" t="s">
        <v>34</v>
      </c>
      <c r="E177" t="s">
        <v>782</v>
      </c>
    </row>
    <row r="178" spans="1:5" x14ac:dyDescent="0.25">
      <c r="A178" t="s">
        <v>778</v>
      </c>
      <c r="B178" t="s">
        <v>783</v>
      </c>
      <c r="C178" t="s">
        <v>783</v>
      </c>
      <c r="D178" t="s">
        <v>458</v>
      </c>
      <c r="E178" t="s">
        <v>784</v>
      </c>
    </row>
    <row r="179" spans="1:5" x14ac:dyDescent="0.25">
      <c r="A179" t="s">
        <v>778</v>
      </c>
      <c r="B179" t="s">
        <v>785</v>
      </c>
      <c r="C179" t="s">
        <v>785</v>
      </c>
      <c r="D179" t="s">
        <v>460</v>
      </c>
      <c r="E179" t="s">
        <v>786</v>
      </c>
    </row>
    <row r="180" spans="1:5" x14ac:dyDescent="0.25">
      <c r="A180" t="s">
        <v>778</v>
      </c>
      <c r="B180" t="s">
        <v>787</v>
      </c>
      <c r="C180" t="s">
        <v>787</v>
      </c>
      <c r="D180" t="s">
        <v>462</v>
      </c>
      <c r="E180" t="s">
        <v>788</v>
      </c>
    </row>
    <row r="181" spans="1:5" x14ac:dyDescent="0.25">
      <c r="A181" t="s">
        <v>789</v>
      </c>
      <c r="B181" t="s">
        <v>790</v>
      </c>
      <c r="C181" t="s">
        <v>790</v>
      </c>
      <c r="D181" t="s">
        <v>455</v>
      </c>
      <c r="E181" t="s">
        <v>791</v>
      </c>
    </row>
    <row r="182" spans="1:5" x14ac:dyDescent="0.25">
      <c r="A182" t="s">
        <v>789</v>
      </c>
      <c r="B182" t="s">
        <v>792</v>
      </c>
      <c r="C182" t="s">
        <v>792</v>
      </c>
      <c r="D182" t="s">
        <v>34</v>
      </c>
      <c r="E182" t="s">
        <v>793</v>
      </c>
    </row>
    <row r="183" spans="1:5" x14ac:dyDescent="0.25">
      <c r="A183" t="s">
        <v>789</v>
      </c>
      <c r="B183" t="s">
        <v>794</v>
      </c>
      <c r="C183" t="s">
        <v>794</v>
      </c>
      <c r="D183" t="s">
        <v>458</v>
      </c>
      <c r="E183" t="s">
        <v>795</v>
      </c>
    </row>
    <row r="184" spans="1:5" x14ac:dyDescent="0.25">
      <c r="A184" t="s">
        <v>789</v>
      </c>
      <c r="B184" t="s">
        <v>796</v>
      </c>
      <c r="C184" t="s">
        <v>796</v>
      </c>
      <c r="D184" t="s">
        <v>460</v>
      </c>
      <c r="E184" t="s">
        <v>797</v>
      </c>
    </row>
    <row r="185" spans="1:5" x14ac:dyDescent="0.25">
      <c r="A185" t="s">
        <v>789</v>
      </c>
      <c r="B185" t="s">
        <v>798</v>
      </c>
      <c r="C185" t="s">
        <v>798</v>
      </c>
      <c r="D185" t="s">
        <v>460</v>
      </c>
      <c r="E185" t="s">
        <v>799</v>
      </c>
    </row>
    <row r="186" spans="1:5" x14ac:dyDescent="0.25">
      <c r="A186" t="s">
        <v>789</v>
      </c>
      <c r="B186" t="s">
        <v>800</v>
      </c>
      <c r="C186" t="s">
        <v>800</v>
      </c>
      <c r="D186" t="s">
        <v>460</v>
      </c>
      <c r="E186" t="s">
        <v>801</v>
      </c>
    </row>
    <row r="187" spans="1:5" x14ac:dyDescent="0.25">
      <c r="A187" t="s">
        <v>789</v>
      </c>
      <c r="B187" t="s">
        <v>802</v>
      </c>
      <c r="C187" t="s">
        <v>802</v>
      </c>
      <c r="D187" t="s">
        <v>460</v>
      </c>
      <c r="E187" t="s">
        <v>803</v>
      </c>
    </row>
    <row r="188" spans="1:5" x14ac:dyDescent="0.25">
      <c r="A188" t="s">
        <v>789</v>
      </c>
      <c r="B188" t="s">
        <v>804</v>
      </c>
      <c r="C188" t="s">
        <v>804</v>
      </c>
      <c r="D188" t="s">
        <v>460</v>
      </c>
      <c r="E188" t="s">
        <v>805</v>
      </c>
    </row>
    <row r="189" spans="1:5" x14ac:dyDescent="0.25">
      <c r="A189" t="s">
        <v>789</v>
      </c>
      <c r="B189" t="s">
        <v>806</v>
      </c>
      <c r="C189" t="s">
        <v>806</v>
      </c>
      <c r="D189" t="s">
        <v>498</v>
      </c>
      <c r="E189" t="s">
        <v>807</v>
      </c>
    </row>
    <row r="190" spans="1:5" x14ac:dyDescent="0.25">
      <c r="A190" t="s">
        <v>789</v>
      </c>
      <c r="B190" t="s">
        <v>808</v>
      </c>
      <c r="C190" t="s">
        <v>808</v>
      </c>
      <c r="D190" t="s">
        <v>498</v>
      </c>
      <c r="E190" t="s">
        <v>809</v>
      </c>
    </row>
    <row r="191" spans="1:5" x14ac:dyDescent="0.25">
      <c r="A191" t="s">
        <v>789</v>
      </c>
      <c r="B191" t="s">
        <v>810</v>
      </c>
      <c r="C191" t="s">
        <v>810</v>
      </c>
      <c r="D191" t="s">
        <v>498</v>
      </c>
      <c r="E191" t="s">
        <v>811</v>
      </c>
    </row>
    <row r="192" spans="1:5" x14ac:dyDescent="0.25">
      <c r="A192" t="s">
        <v>789</v>
      </c>
      <c r="B192" t="s">
        <v>624</v>
      </c>
      <c r="C192" t="s">
        <v>624</v>
      </c>
      <c r="D192" t="s">
        <v>498</v>
      </c>
      <c r="E192" t="s">
        <v>812</v>
      </c>
    </row>
    <row r="193" spans="1:5" x14ac:dyDescent="0.25">
      <c r="A193" t="s">
        <v>813</v>
      </c>
      <c r="B193" t="s">
        <v>790</v>
      </c>
      <c r="C193" t="s">
        <v>790</v>
      </c>
      <c r="D193" t="s">
        <v>455</v>
      </c>
      <c r="E193" t="s">
        <v>814</v>
      </c>
    </row>
    <row r="194" spans="1:5" x14ac:dyDescent="0.25">
      <c r="A194" t="s">
        <v>813</v>
      </c>
      <c r="B194" t="s">
        <v>792</v>
      </c>
      <c r="C194" t="s">
        <v>792</v>
      </c>
      <c r="D194" t="s">
        <v>34</v>
      </c>
      <c r="E194" t="s">
        <v>815</v>
      </c>
    </row>
    <row r="195" spans="1:5" x14ac:dyDescent="0.25">
      <c r="A195" t="s">
        <v>813</v>
      </c>
      <c r="B195" t="s">
        <v>794</v>
      </c>
      <c r="C195" t="s">
        <v>794</v>
      </c>
      <c r="D195" t="s">
        <v>458</v>
      </c>
      <c r="E195" t="s">
        <v>816</v>
      </c>
    </row>
    <row r="196" spans="1:5" x14ac:dyDescent="0.25">
      <c r="A196" t="s">
        <v>813</v>
      </c>
      <c r="B196" t="s">
        <v>796</v>
      </c>
      <c r="C196" t="s">
        <v>796</v>
      </c>
      <c r="D196" t="s">
        <v>460</v>
      </c>
      <c r="E196" t="s">
        <v>817</v>
      </c>
    </row>
    <row r="197" spans="1:5" x14ac:dyDescent="0.25">
      <c r="A197" t="s">
        <v>813</v>
      </c>
      <c r="B197" t="s">
        <v>798</v>
      </c>
      <c r="C197" t="s">
        <v>798</v>
      </c>
      <c r="D197" t="s">
        <v>460</v>
      </c>
      <c r="E197" t="s">
        <v>818</v>
      </c>
    </row>
    <row r="198" spans="1:5" x14ac:dyDescent="0.25">
      <c r="A198" t="s">
        <v>813</v>
      </c>
      <c r="B198" t="s">
        <v>800</v>
      </c>
      <c r="C198" t="s">
        <v>800</v>
      </c>
      <c r="D198" t="s">
        <v>460</v>
      </c>
      <c r="E198" t="s">
        <v>819</v>
      </c>
    </row>
    <row r="199" spans="1:5" x14ac:dyDescent="0.25">
      <c r="A199" t="s">
        <v>813</v>
      </c>
      <c r="B199" t="s">
        <v>802</v>
      </c>
      <c r="C199" t="s">
        <v>802</v>
      </c>
      <c r="D199" t="s">
        <v>460</v>
      </c>
      <c r="E199" t="s">
        <v>820</v>
      </c>
    </row>
    <row r="200" spans="1:5" x14ac:dyDescent="0.25">
      <c r="A200" t="s">
        <v>813</v>
      </c>
      <c r="B200" t="s">
        <v>804</v>
      </c>
      <c r="C200" t="s">
        <v>804</v>
      </c>
      <c r="D200" t="s">
        <v>460</v>
      </c>
      <c r="E200" t="s">
        <v>821</v>
      </c>
    </row>
    <row r="201" spans="1:5" x14ac:dyDescent="0.25">
      <c r="A201" t="s">
        <v>813</v>
      </c>
      <c r="B201" t="s">
        <v>806</v>
      </c>
      <c r="C201" t="s">
        <v>806</v>
      </c>
      <c r="D201" t="s">
        <v>498</v>
      </c>
      <c r="E201" t="s">
        <v>822</v>
      </c>
    </row>
    <row r="202" spans="1:5" x14ac:dyDescent="0.25">
      <c r="A202" t="s">
        <v>813</v>
      </c>
      <c r="B202" t="s">
        <v>808</v>
      </c>
      <c r="C202" t="s">
        <v>808</v>
      </c>
      <c r="D202" t="s">
        <v>498</v>
      </c>
      <c r="E202" t="s">
        <v>823</v>
      </c>
    </row>
    <row r="203" spans="1:5" x14ac:dyDescent="0.25">
      <c r="A203" t="s">
        <v>813</v>
      </c>
      <c r="B203" t="s">
        <v>810</v>
      </c>
      <c r="C203" t="s">
        <v>810</v>
      </c>
      <c r="D203" t="s">
        <v>498</v>
      </c>
      <c r="E203" t="s">
        <v>824</v>
      </c>
    </row>
    <row r="204" spans="1:5" x14ac:dyDescent="0.25">
      <c r="A204" t="s">
        <v>813</v>
      </c>
      <c r="B204" t="s">
        <v>624</v>
      </c>
      <c r="C204" t="s">
        <v>624</v>
      </c>
      <c r="D204" t="s">
        <v>498</v>
      </c>
      <c r="E204" t="s">
        <v>825</v>
      </c>
    </row>
    <row r="205" spans="1:5" x14ac:dyDescent="0.25">
      <c r="A205" t="s">
        <v>813</v>
      </c>
      <c r="B205" t="s">
        <v>634</v>
      </c>
      <c r="C205" t="s">
        <v>634</v>
      </c>
      <c r="E205" t="s">
        <v>826</v>
      </c>
    </row>
    <row r="206" spans="1:5" x14ac:dyDescent="0.25">
      <c r="A206" t="s">
        <v>827</v>
      </c>
      <c r="B206" t="s">
        <v>790</v>
      </c>
      <c r="C206" t="s">
        <v>790</v>
      </c>
      <c r="D206" t="s">
        <v>455</v>
      </c>
      <c r="E206" t="s">
        <v>828</v>
      </c>
    </row>
    <row r="207" spans="1:5" x14ac:dyDescent="0.25">
      <c r="A207" t="s">
        <v>827</v>
      </c>
      <c r="B207" t="s">
        <v>792</v>
      </c>
      <c r="C207" t="s">
        <v>792</v>
      </c>
      <c r="D207" t="s">
        <v>455</v>
      </c>
      <c r="E207" t="s">
        <v>829</v>
      </c>
    </row>
    <row r="208" spans="1:5" x14ac:dyDescent="0.25">
      <c r="A208" t="s">
        <v>827</v>
      </c>
      <c r="B208" t="s">
        <v>794</v>
      </c>
      <c r="C208" t="s">
        <v>794</v>
      </c>
      <c r="D208" t="s">
        <v>455</v>
      </c>
      <c r="E208" t="s">
        <v>830</v>
      </c>
    </row>
    <row r="209" spans="1:5" x14ac:dyDescent="0.25">
      <c r="A209" t="s">
        <v>827</v>
      </c>
      <c r="B209" t="s">
        <v>796</v>
      </c>
      <c r="C209" t="s">
        <v>796</v>
      </c>
      <c r="D209" t="s">
        <v>34</v>
      </c>
      <c r="E209" t="s">
        <v>831</v>
      </c>
    </row>
    <row r="210" spans="1:5" x14ac:dyDescent="0.25">
      <c r="A210" t="s">
        <v>827</v>
      </c>
      <c r="B210" t="s">
        <v>798</v>
      </c>
      <c r="C210" t="s">
        <v>798</v>
      </c>
      <c r="D210" t="s">
        <v>458</v>
      </c>
      <c r="E210" t="s">
        <v>832</v>
      </c>
    </row>
    <row r="211" spans="1:5" x14ac:dyDescent="0.25">
      <c r="A211" t="s">
        <v>827</v>
      </c>
      <c r="B211" t="s">
        <v>800</v>
      </c>
      <c r="C211" t="s">
        <v>800</v>
      </c>
      <c r="D211" t="s">
        <v>460</v>
      </c>
      <c r="E211" t="s">
        <v>833</v>
      </c>
    </row>
    <row r="212" spans="1:5" x14ac:dyDescent="0.25">
      <c r="A212" t="s">
        <v>827</v>
      </c>
      <c r="B212" t="s">
        <v>802</v>
      </c>
      <c r="C212" t="s">
        <v>802</v>
      </c>
      <c r="D212" t="s">
        <v>498</v>
      </c>
      <c r="E212" t="s">
        <v>834</v>
      </c>
    </row>
    <row r="213" spans="1:5" x14ac:dyDescent="0.25">
      <c r="A213" t="s">
        <v>827</v>
      </c>
      <c r="B213" t="s">
        <v>804</v>
      </c>
      <c r="C213" t="s">
        <v>804</v>
      </c>
      <c r="D213" t="s">
        <v>498</v>
      </c>
      <c r="E213" t="s">
        <v>835</v>
      </c>
    </row>
    <row r="214" spans="1:5" x14ac:dyDescent="0.25">
      <c r="A214" t="s">
        <v>827</v>
      </c>
      <c r="B214" t="s">
        <v>806</v>
      </c>
      <c r="C214" t="s">
        <v>806</v>
      </c>
      <c r="D214" t="s">
        <v>498</v>
      </c>
      <c r="E214" t="s">
        <v>836</v>
      </c>
    </row>
    <row r="215" spans="1:5" x14ac:dyDescent="0.25">
      <c r="A215" t="s">
        <v>827</v>
      </c>
      <c r="B215" t="s">
        <v>808</v>
      </c>
      <c r="C215" t="s">
        <v>808</v>
      </c>
      <c r="D215" t="s">
        <v>498</v>
      </c>
      <c r="E215" t="s">
        <v>837</v>
      </c>
    </row>
    <row r="216" spans="1:5" x14ac:dyDescent="0.25">
      <c r="A216" t="s">
        <v>827</v>
      </c>
      <c r="B216" t="s">
        <v>810</v>
      </c>
      <c r="C216" t="s">
        <v>810</v>
      </c>
      <c r="D216" t="s">
        <v>498</v>
      </c>
      <c r="E216" t="s">
        <v>838</v>
      </c>
    </row>
    <row r="217" spans="1:5" x14ac:dyDescent="0.25">
      <c r="A217" t="s">
        <v>827</v>
      </c>
      <c r="B217" t="s">
        <v>624</v>
      </c>
      <c r="C217" t="s">
        <v>624</v>
      </c>
      <c r="D217" t="s">
        <v>498</v>
      </c>
      <c r="E217" t="s">
        <v>839</v>
      </c>
    </row>
    <row r="218" spans="1:5" x14ac:dyDescent="0.25">
      <c r="A218" t="s">
        <v>827</v>
      </c>
      <c r="B218" t="s">
        <v>634</v>
      </c>
      <c r="C218" t="s">
        <v>634</v>
      </c>
      <c r="E218" t="s">
        <v>840</v>
      </c>
    </row>
    <row r="219" spans="1:5" x14ac:dyDescent="0.25">
      <c r="A219" t="s">
        <v>841</v>
      </c>
      <c r="B219" t="s">
        <v>790</v>
      </c>
      <c r="C219" t="s">
        <v>790</v>
      </c>
      <c r="D219" t="s">
        <v>455</v>
      </c>
      <c r="E219" t="s">
        <v>842</v>
      </c>
    </row>
    <row r="220" spans="1:5" x14ac:dyDescent="0.25">
      <c r="A220" t="s">
        <v>841</v>
      </c>
      <c r="B220" t="s">
        <v>792</v>
      </c>
      <c r="C220" t="s">
        <v>792</v>
      </c>
      <c r="D220" t="s">
        <v>455</v>
      </c>
      <c r="E220" t="s">
        <v>843</v>
      </c>
    </row>
    <row r="221" spans="1:5" x14ac:dyDescent="0.25">
      <c r="A221" t="s">
        <v>841</v>
      </c>
      <c r="B221" t="s">
        <v>794</v>
      </c>
      <c r="C221" t="s">
        <v>794</v>
      </c>
      <c r="D221" t="s">
        <v>455</v>
      </c>
      <c r="E221" t="s">
        <v>844</v>
      </c>
    </row>
    <row r="222" spans="1:5" x14ac:dyDescent="0.25">
      <c r="A222" t="s">
        <v>841</v>
      </c>
      <c r="B222" t="s">
        <v>796</v>
      </c>
      <c r="C222" t="s">
        <v>796</v>
      </c>
      <c r="D222" t="s">
        <v>455</v>
      </c>
      <c r="E222" t="s">
        <v>845</v>
      </c>
    </row>
    <row r="223" spans="1:5" x14ac:dyDescent="0.25">
      <c r="A223" t="s">
        <v>841</v>
      </c>
      <c r="B223" t="s">
        <v>798</v>
      </c>
      <c r="C223" t="s">
        <v>798</v>
      </c>
      <c r="D223" t="s">
        <v>455</v>
      </c>
      <c r="E223" t="s">
        <v>846</v>
      </c>
    </row>
    <row r="224" spans="1:5" x14ac:dyDescent="0.25">
      <c r="A224" t="s">
        <v>841</v>
      </c>
      <c r="B224" t="s">
        <v>800</v>
      </c>
      <c r="C224" t="s">
        <v>800</v>
      </c>
      <c r="D224" t="s">
        <v>34</v>
      </c>
      <c r="E224" t="s">
        <v>847</v>
      </c>
    </row>
    <row r="225" spans="1:5" x14ac:dyDescent="0.25">
      <c r="A225" t="s">
        <v>841</v>
      </c>
      <c r="B225" t="s">
        <v>802</v>
      </c>
      <c r="C225" t="s">
        <v>802</v>
      </c>
      <c r="D225" t="s">
        <v>458</v>
      </c>
      <c r="E225" t="s">
        <v>848</v>
      </c>
    </row>
    <row r="226" spans="1:5" x14ac:dyDescent="0.25">
      <c r="A226" t="s">
        <v>841</v>
      </c>
      <c r="B226" t="s">
        <v>804</v>
      </c>
      <c r="C226" t="s">
        <v>804</v>
      </c>
      <c r="D226" t="s">
        <v>460</v>
      </c>
      <c r="E226" t="s">
        <v>849</v>
      </c>
    </row>
    <row r="227" spans="1:5" x14ac:dyDescent="0.25">
      <c r="A227" t="s">
        <v>841</v>
      </c>
      <c r="B227" t="s">
        <v>806</v>
      </c>
      <c r="C227" t="s">
        <v>806</v>
      </c>
      <c r="D227" t="s">
        <v>498</v>
      </c>
      <c r="E227" t="s">
        <v>850</v>
      </c>
    </row>
    <row r="228" spans="1:5" x14ac:dyDescent="0.25">
      <c r="A228" t="s">
        <v>841</v>
      </c>
      <c r="B228" t="s">
        <v>808</v>
      </c>
      <c r="C228" t="s">
        <v>808</v>
      </c>
      <c r="D228" t="s">
        <v>498</v>
      </c>
      <c r="E228" t="s">
        <v>851</v>
      </c>
    </row>
    <row r="229" spans="1:5" x14ac:dyDescent="0.25">
      <c r="A229" t="s">
        <v>841</v>
      </c>
      <c r="B229" t="s">
        <v>810</v>
      </c>
      <c r="C229" t="s">
        <v>810</v>
      </c>
      <c r="D229" t="s">
        <v>498</v>
      </c>
      <c r="E229" t="s">
        <v>852</v>
      </c>
    </row>
    <row r="230" spans="1:5" x14ac:dyDescent="0.25">
      <c r="A230" t="s">
        <v>841</v>
      </c>
      <c r="B230" t="s">
        <v>624</v>
      </c>
      <c r="C230" t="s">
        <v>624</v>
      </c>
      <c r="D230" t="s">
        <v>498</v>
      </c>
      <c r="E230" t="s">
        <v>853</v>
      </c>
    </row>
    <row r="231" spans="1:5" x14ac:dyDescent="0.25">
      <c r="A231" t="s">
        <v>841</v>
      </c>
      <c r="B231" t="s">
        <v>634</v>
      </c>
      <c r="C231" t="s">
        <v>634</v>
      </c>
      <c r="E231" t="s">
        <v>854</v>
      </c>
    </row>
    <row r="232" spans="1:5" x14ac:dyDescent="0.25">
      <c r="A232" t="s">
        <v>855</v>
      </c>
      <c r="B232" t="s">
        <v>856</v>
      </c>
      <c r="C232" t="s">
        <v>856</v>
      </c>
      <c r="D232" t="s">
        <v>455</v>
      </c>
      <c r="E232" t="s">
        <v>857</v>
      </c>
    </row>
    <row r="233" spans="1:5" x14ac:dyDescent="0.25">
      <c r="A233" t="s">
        <v>855</v>
      </c>
      <c r="B233" t="s">
        <v>858</v>
      </c>
      <c r="C233" t="s">
        <v>858</v>
      </c>
      <c r="D233" t="s">
        <v>34</v>
      </c>
      <c r="E233" t="s">
        <v>859</v>
      </c>
    </row>
    <row r="234" spans="1:5" x14ac:dyDescent="0.25">
      <c r="A234" t="s">
        <v>855</v>
      </c>
      <c r="B234" t="s">
        <v>860</v>
      </c>
      <c r="C234" t="s">
        <v>860</v>
      </c>
      <c r="D234" t="s">
        <v>458</v>
      </c>
      <c r="E234" t="s">
        <v>861</v>
      </c>
    </row>
    <row r="235" spans="1:5" x14ac:dyDescent="0.25">
      <c r="A235" t="s">
        <v>855</v>
      </c>
      <c r="B235" t="s">
        <v>862</v>
      </c>
      <c r="C235" t="s">
        <v>862</v>
      </c>
      <c r="D235" t="s">
        <v>460</v>
      </c>
      <c r="E235" t="s">
        <v>863</v>
      </c>
    </row>
    <row r="236" spans="1:5" x14ac:dyDescent="0.25">
      <c r="A236" t="s">
        <v>855</v>
      </c>
      <c r="B236" t="s">
        <v>864</v>
      </c>
      <c r="C236" t="s">
        <v>864</v>
      </c>
      <c r="D236" t="s">
        <v>462</v>
      </c>
      <c r="E236" t="s">
        <v>865</v>
      </c>
    </row>
    <row r="237" spans="1:5" x14ac:dyDescent="0.25">
      <c r="A237" t="s">
        <v>384</v>
      </c>
      <c r="B237" t="s">
        <v>866</v>
      </c>
      <c r="C237" t="s">
        <v>866</v>
      </c>
      <c r="D237" t="s">
        <v>455</v>
      </c>
      <c r="E237" t="s">
        <v>867</v>
      </c>
    </row>
    <row r="238" spans="1:5" x14ac:dyDescent="0.25">
      <c r="A238" t="s">
        <v>384</v>
      </c>
      <c r="B238" t="s">
        <v>868</v>
      </c>
      <c r="C238" t="s">
        <v>868</v>
      </c>
      <c r="D238" t="s">
        <v>458</v>
      </c>
      <c r="E238" t="s">
        <v>869</v>
      </c>
    </row>
    <row r="239" spans="1:5" x14ac:dyDescent="0.25">
      <c r="A239" t="s">
        <v>384</v>
      </c>
      <c r="B239" t="s">
        <v>870</v>
      </c>
      <c r="C239" t="s">
        <v>870</v>
      </c>
      <c r="D239" t="s">
        <v>462</v>
      </c>
      <c r="E239" t="s">
        <v>871</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2"/>
  <sheetViews>
    <sheetView workbookViewId="0"/>
  </sheetViews>
  <sheetFormatPr defaultRowHeight="15" x14ac:dyDescent="0.25"/>
  <sheetData>
    <row r="1" spans="1:2" x14ac:dyDescent="0.25">
      <c r="A1" t="s">
        <v>872</v>
      </c>
      <c r="B1" t="s">
        <v>873</v>
      </c>
    </row>
    <row r="2" spans="1:2" x14ac:dyDescent="0.25">
      <c r="A2" t="s">
        <v>874</v>
      </c>
      <c r="B2">
        <v>1</v>
      </c>
    </row>
    <row r="3" spans="1:2" x14ac:dyDescent="0.25">
      <c r="A3" t="s">
        <v>875</v>
      </c>
      <c r="B3">
        <v>1</v>
      </c>
    </row>
    <row r="4" spans="1:2" x14ac:dyDescent="0.25">
      <c r="A4" t="s">
        <v>876</v>
      </c>
      <c r="B4">
        <v>1</v>
      </c>
    </row>
    <row r="5" spans="1:2" x14ac:dyDescent="0.25">
      <c r="A5" t="s">
        <v>877</v>
      </c>
      <c r="B5">
        <v>1</v>
      </c>
    </row>
    <row r="6" spans="1:2" x14ac:dyDescent="0.25">
      <c r="A6" t="s">
        <v>878</v>
      </c>
      <c r="B6">
        <v>1</v>
      </c>
    </row>
    <row r="7" spans="1:2" x14ac:dyDescent="0.25">
      <c r="A7" t="s">
        <v>879</v>
      </c>
      <c r="B7">
        <v>0.38461538499999998</v>
      </c>
    </row>
    <row r="8" spans="1:2" x14ac:dyDescent="0.25">
      <c r="A8" t="s">
        <v>880</v>
      </c>
      <c r="B8">
        <v>0.46153846199999998</v>
      </c>
    </row>
    <row r="9" spans="1:2" x14ac:dyDescent="0.25">
      <c r="A9" t="s">
        <v>881</v>
      </c>
      <c r="B9">
        <v>0.15384615400000001</v>
      </c>
    </row>
    <row r="10" spans="1:2" x14ac:dyDescent="0.25">
      <c r="A10" t="s">
        <v>882</v>
      </c>
      <c r="B10">
        <v>1</v>
      </c>
    </row>
    <row r="11" spans="1:2" x14ac:dyDescent="0.25">
      <c r="A11" t="s">
        <v>883</v>
      </c>
      <c r="B11">
        <v>1</v>
      </c>
    </row>
    <row r="12" spans="1:2" x14ac:dyDescent="0.25">
      <c r="A12" t="s">
        <v>884</v>
      </c>
      <c r="B12">
        <v>1</v>
      </c>
    </row>
    <row r="13" spans="1:2" x14ac:dyDescent="0.25">
      <c r="A13" t="s">
        <v>885</v>
      </c>
      <c r="B13">
        <v>1</v>
      </c>
    </row>
    <row r="14" spans="1:2" x14ac:dyDescent="0.25">
      <c r="A14" t="s">
        <v>886</v>
      </c>
      <c r="B14">
        <v>1</v>
      </c>
    </row>
    <row r="15" spans="1:2" x14ac:dyDescent="0.25">
      <c r="A15" t="s">
        <v>887</v>
      </c>
      <c r="B15">
        <v>1</v>
      </c>
    </row>
    <row r="16" spans="1:2" x14ac:dyDescent="0.25">
      <c r="A16" t="s">
        <v>888</v>
      </c>
      <c r="B16">
        <v>0.25</v>
      </c>
    </row>
    <row r="17" spans="1:2" x14ac:dyDescent="0.25">
      <c r="A17" t="s">
        <v>889</v>
      </c>
      <c r="B17">
        <v>0.25</v>
      </c>
    </row>
    <row r="18" spans="1:2" x14ac:dyDescent="0.25">
      <c r="A18" t="s">
        <v>890</v>
      </c>
      <c r="B18">
        <v>0.25</v>
      </c>
    </row>
    <row r="19" spans="1:2" x14ac:dyDescent="0.25">
      <c r="A19" t="s">
        <v>891</v>
      </c>
      <c r="B19">
        <v>0.25</v>
      </c>
    </row>
    <row r="20" spans="1:2" x14ac:dyDescent="0.25">
      <c r="A20" t="s">
        <v>892</v>
      </c>
      <c r="B20">
        <v>1</v>
      </c>
    </row>
    <row r="21" spans="1:2" x14ac:dyDescent="0.25">
      <c r="A21" t="s">
        <v>893</v>
      </c>
      <c r="B21">
        <v>0.16666666699999999</v>
      </c>
    </row>
    <row r="22" spans="1:2" x14ac:dyDescent="0.25">
      <c r="A22" t="s">
        <v>894</v>
      </c>
      <c r="B22">
        <v>0.26666666700000002</v>
      </c>
    </row>
    <row r="23" spans="1:2" x14ac:dyDescent="0.25">
      <c r="A23" t="s">
        <v>895</v>
      </c>
      <c r="B23">
        <v>0.56666666700000001</v>
      </c>
    </row>
    <row r="24" spans="1:2" x14ac:dyDescent="0.25">
      <c r="A24" t="s">
        <v>896</v>
      </c>
      <c r="B24">
        <v>0.66666666699999999</v>
      </c>
    </row>
    <row r="25" spans="1:2" x14ac:dyDescent="0.25">
      <c r="A25" t="s">
        <v>897</v>
      </c>
      <c r="B25">
        <v>0.33333333300000001</v>
      </c>
    </row>
    <row r="26" spans="1:2" x14ac:dyDescent="0.25">
      <c r="A26" t="s">
        <v>898</v>
      </c>
      <c r="B26">
        <v>1</v>
      </c>
    </row>
    <row r="27" spans="1:2" x14ac:dyDescent="0.25">
      <c r="A27" t="s">
        <v>899</v>
      </c>
      <c r="B27">
        <v>1</v>
      </c>
    </row>
    <row r="28" spans="1:2" x14ac:dyDescent="0.25">
      <c r="A28" t="s">
        <v>900</v>
      </c>
      <c r="B28">
        <v>0.5</v>
      </c>
    </row>
    <row r="29" spans="1:2" x14ac:dyDescent="0.25">
      <c r="A29" t="s">
        <v>901</v>
      </c>
      <c r="B29">
        <v>0.4</v>
      </c>
    </row>
    <row r="30" spans="1:2" x14ac:dyDescent="0.25">
      <c r="A30" t="s">
        <v>902</v>
      </c>
      <c r="B30">
        <v>0.02</v>
      </c>
    </row>
    <row r="31" spans="1:2" x14ac:dyDescent="0.25">
      <c r="A31" t="s">
        <v>903</v>
      </c>
      <c r="B31">
        <v>0.02</v>
      </c>
    </row>
    <row r="32" spans="1:2" x14ac:dyDescent="0.25">
      <c r="A32" t="s">
        <v>904</v>
      </c>
      <c r="B32">
        <v>0.06</v>
      </c>
    </row>
    <row r="33" spans="1:2" x14ac:dyDescent="0.25">
      <c r="A33" t="s">
        <v>36</v>
      </c>
      <c r="B33">
        <v>0.24705882400000001</v>
      </c>
    </row>
    <row r="34" spans="1:2" x14ac:dyDescent="0.25">
      <c r="A34" t="s">
        <v>95</v>
      </c>
      <c r="B34">
        <v>0.117647059</v>
      </c>
    </row>
    <row r="35" spans="1:2" x14ac:dyDescent="0.25">
      <c r="A35" t="s">
        <v>118</v>
      </c>
      <c r="B35">
        <v>8.2352940999999999E-2</v>
      </c>
    </row>
    <row r="36" spans="1:2" x14ac:dyDescent="0.25">
      <c r="A36" t="s">
        <v>139</v>
      </c>
      <c r="B36">
        <v>0.164705882</v>
      </c>
    </row>
    <row r="37" spans="1:2" x14ac:dyDescent="0.25">
      <c r="A37" t="s">
        <v>169</v>
      </c>
      <c r="B37">
        <v>0.12941176500000001</v>
      </c>
    </row>
    <row r="38" spans="1:2" x14ac:dyDescent="0.25">
      <c r="A38" t="s">
        <v>195</v>
      </c>
      <c r="B38">
        <v>0.12941176500000001</v>
      </c>
    </row>
    <row r="39" spans="1:2" x14ac:dyDescent="0.25">
      <c r="A39" t="s">
        <v>219</v>
      </c>
      <c r="B39">
        <v>5.8823528999999999E-2</v>
      </c>
    </row>
    <row r="40" spans="1:2" x14ac:dyDescent="0.25">
      <c r="A40" t="s">
        <v>233</v>
      </c>
      <c r="B40">
        <v>7.0588234999999999E-2</v>
      </c>
    </row>
    <row r="41" spans="1:2" x14ac:dyDescent="0.25">
      <c r="A41" t="s">
        <v>254</v>
      </c>
      <c r="B41">
        <v>1</v>
      </c>
    </row>
    <row r="42" spans="1:2" x14ac:dyDescent="0.25">
      <c r="A42" t="s">
        <v>282</v>
      </c>
      <c r="B42">
        <v>1</v>
      </c>
    </row>
    <row r="43" spans="1:2" x14ac:dyDescent="0.25">
      <c r="A43" t="s">
        <v>322</v>
      </c>
      <c r="B43">
        <v>0.55555555599999995</v>
      </c>
    </row>
    <row r="44" spans="1:2" x14ac:dyDescent="0.25">
      <c r="A44" t="s">
        <v>345</v>
      </c>
      <c r="B44">
        <v>0.44444444399999999</v>
      </c>
    </row>
    <row r="45" spans="1:2" x14ac:dyDescent="0.25">
      <c r="A45" t="s">
        <v>357</v>
      </c>
      <c r="B45">
        <v>1</v>
      </c>
    </row>
    <row r="46" spans="1:2" x14ac:dyDescent="0.25">
      <c r="A46" t="s">
        <v>375</v>
      </c>
      <c r="B46">
        <v>0.4</v>
      </c>
    </row>
    <row r="47" spans="1:2" x14ac:dyDescent="0.25">
      <c r="A47" t="s">
        <v>390</v>
      </c>
      <c r="B47">
        <v>0.2</v>
      </c>
    </row>
    <row r="48" spans="1:2" x14ac:dyDescent="0.25">
      <c r="A48" t="s">
        <v>399</v>
      </c>
      <c r="B48">
        <v>0.4</v>
      </c>
    </row>
    <row r="49" spans="1:2" x14ac:dyDescent="0.25">
      <c r="A49" t="s">
        <v>905</v>
      </c>
      <c r="B49">
        <v>1</v>
      </c>
    </row>
    <row r="50" spans="1:2" x14ac:dyDescent="0.25">
      <c r="A50" t="s">
        <v>906</v>
      </c>
      <c r="B50">
        <v>1</v>
      </c>
    </row>
    <row r="51" spans="1:2" x14ac:dyDescent="0.25">
      <c r="A51" t="s">
        <v>907</v>
      </c>
      <c r="B51">
        <v>0.25</v>
      </c>
    </row>
    <row r="52" spans="1:2" x14ac:dyDescent="0.25">
      <c r="A52" t="s">
        <v>908</v>
      </c>
      <c r="B52">
        <v>0.25</v>
      </c>
    </row>
    <row r="53" spans="1:2" x14ac:dyDescent="0.25">
      <c r="A53" t="s">
        <v>909</v>
      </c>
      <c r="B53">
        <v>0.25</v>
      </c>
    </row>
    <row r="54" spans="1:2" x14ac:dyDescent="0.25">
      <c r="A54" t="s">
        <v>910</v>
      </c>
      <c r="B54">
        <v>0.25</v>
      </c>
    </row>
    <row r="55" spans="1:2" x14ac:dyDescent="0.25">
      <c r="A55" t="s">
        <v>911</v>
      </c>
      <c r="B55">
        <v>0.2</v>
      </c>
    </row>
    <row r="56" spans="1:2" x14ac:dyDescent="0.25">
      <c r="A56" t="s">
        <v>912</v>
      </c>
      <c r="B56">
        <v>0.2</v>
      </c>
    </row>
    <row r="57" spans="1:2" x14ac:dyDescent="0.25">
      <c r="A57" t="s">
        <v>913</v>
      </c>
      <c r="B57">
        <v>0.2</v>
      </c>
    </row>
    <row r="58" spans="1:2" x14ac:dyDescent="0.25">
      <c r="A58" t="s">
        <v>914</v>
      </c>
      <c r="B58">
        <v>0.2</v>
      </c>
    </row>
    <row r="59" spans="1:2" x14ac:dyDescent="0.25">
      <c r="A59" t="s">
        <v>915</v>
      </c>
      <c r="B59">
        <v>0.2</v>
      </c>
    </row>
    <row r="60" spans="1:2" x14ac:dyDescent="0.25">
      <c r="A60" t="s">
        <v>916</v>
      </c>
      <c r="B60">
        <v>1</v>
      </c>
    </row>
    <row r="61" spans="1:2" x14ac:dyDescent="0.25">
      <c r="A61" t="s">
        <v>917</v>
      </c>
      <c r="B61">
        <v>0.5</v>
      </c>
    </row>
    <row r="62" spans="1:2" x14ac:dyDescent="0.25">
      <c r="A62" t="s">
        <v>918</v>
      </c>
      <c r="B62">
        <v>0.5</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2"/>
  <sheetViews>
    <sheetView workbookViewId="0"/>
  </sheetViews>
  <sheetFormatPr defaultRowHeight="15" x14ac:dyDescent="0.25"/>
  <sheetData>
    <row r="1" spans="1:3" x14ac:dyDescent="0.25">
      <c r="A1" t="s">
        <v>872</v>
      </c>
      <c r="B1" t="s">
        <v>919</v>
      </c>
      <c r="C1" t="s">
        <v>873</v>
      </c>
    </row>
    <row r="2" spans="1:3" x14ac:dyDescent="0.25">
      <c r="A2" t="s">
        <v>920</v>
      </c>
      <c r="B2" t="s">
        <v>921</v>
      </c>
      <c r="C2">
        <v>0.15</v>
      </c>
    </row>
    <row r="3" spans="1:3" x14ac:dyDescent="0.25">
      <c r="A3" t="s">
        <v>922</v>
      </c>
      <c r="B3" t="s">
        <v>923</v>
      </c>
      <c r="C3">
        <v>0.1</v>
      </c>
    </row>
    <row r="4" spans="1:3" x14ac:dyDescent="0.25">
      <c r="A4" t="s">
        <v>924</v>
      </c>
      <c r="B4" t="s">
        <v>925</v>
      </c>
      <c r="C4">
        <v>0.1</v>
      </c>
    </row>
    <row r="5" spans="1:3" x14ac:dyDescent="0.25">
      <c r="A5" t="s">
        <v>926</v>
      </c>
      <c r="B5" t="s">
        <v>927</v>
      </c>
      <c r="C5">
        <v>0.15</v>
      </c>
    </row>
    <row r="6" spans="1:3" x14ac:dyDescent="0.25">
      <c r="A6" t="s">
        <v>928</v>
      </c>
      <c r="B6" t="s">
        <v>929</v>
      </c>
      <c r="C6">
        <v>0.5</v>
      </c>
    </row>
    <row r="7" spans="1:3" x14ac:dyDescent="0.25">
      <c r="A7" t="s">
        <v>35</v>
      </c>
      <c r="B7" t="s">
        <v>930</v>
      </c>
      <c r="C7">
        <v>0.4</v>
      </c>
    </row>
    <row r="8" spans="1:3" x14ac:dyDescent="0.25">
      <c r="A8" t="s">
        <v>253</v>
      </c>
      <c r="B8" t="s">
        <v>257</v>
      </c>
      <c r="C8">
        <v>0.05</v>
      </c>
    </row>
    <row r="9" spans="1:3" x14ac:dyDescent="0.25">
      <c r="A9" t="s">
        <v>281</v>
      </c>
      <c r="B9" t="s">
        <v>285</v>
      </c>
      <c r="C9">
        <v>0.1</v>
      </c>
    </row>
    <row r="10" spans="1:3" x14ac:dyDescent="0.25">
      <c r="A10" t="s">
        <v>321</v>
      </c>
      <c r="B10" t="s">
        <v>931</v>
      </c>
      <c r="C10">
        <v>0.1</v>
      </c>
    </row>
    <row r="11" spans="1:3" x14ac:dyDescent="0.25">
      <c r="A11" t="s">
        <v>356</v>
      </c>
      <c r="B11" t="s">
        <v>360</v>
      </c>
      <c r="C11">
        <v>0.05</v>
      </c>
    </row>
    <row r="12" spans="1:3" x14ac:dyDescent="0.25">
      <c r="A12" t="s">
        <v>374</v>
      </c>
      <c r="B12" t="s">
        <v>932</v>
      </c>
      <c r="C12">
        <v>0.3</v>
      </c>
    </row>
    <row r="13" spans="1:3" x14ac:dyDescent="0.25">
      <c r="A13" t="s">
        <v>933</v>
      </c>
      <c r="B13" t="s">
        <v>934</v>
      </c>
      <c r="C13">
        <v>0.3</v>
      </c>
    </row>
    <row r="14" spans="1:3" x14ac:dyDescent="0.25">
      <c r="A14" t="s">
        <v>935</v>
      </c>
      <c r="B14" t="s">
        <v>936</v>
      </c>
      <c r="C14">
        <v>0.3</v>
      </c>
    </row>
    <row r="15" spans="1:3" x14ac:dyDescent="0.25">
      <c r="A15" t="s">
        <v>937</v>
      </c>
      <c r="B15" t="s">
        <v>938</v>
      </c>
      <c r="C15">
        <v>0.05</v>
      </c>
    </row>
    <row r="16" spans="1:3" x14ac:dyDescent="0.25">
      <c r="A16" t="s">
        <v>939</v>
      </c>
      <c r="B16" t="s">
        <v>940</v>
      </c>
      <c r="C16">
        <v>0.1</v>
      </c>
    </row>
    <row r="17" spans="1:3" x14ac:dyDescent="0.25">
      <c r="A17" t="s">
        <v>941</v>
      </c>
      <c r="B17" t="s">
        <v>942</v>
      </c>
      <c r="C17">
        <v>0.2</v>
      </c>
    </row>
    <row r="18" spans="1:3" x14ac:dyDescent="0.25">
      <c r="A18" t="s">
        <v>943</v>
      </c>
      <c r="B18" t="s">
        <v>944</v>
      </c>
      <c r="C18">
        <v>0.05</v>
      </c>
    </row>
    <row r="19" spans="1:3" x14ac:dyDescent="0.25">
      <c r="A19" t="s">
        <v>945</v>
      </c>
      <c r="B19" t="s">
        <v>946</v>
      </c>
      <c r="C19">
        <v>0.1</v>
      </c>
    </row>
    <row r="20" spans="1:3" x14ac:dyDescent="0.25">
      <c r="A20" t="s">
        <v>947</v>
      </c>
      <c r="B20" t="s">
        <v>948</v>
      </c>
      <c r="C20">
        <v>0.2</v>
      </c>
    </row>
    <row r="21" spans="1:3" x14ac:dyDescent="0.25">
      <c r="A21" t="s">
        <v>949</v>
      </c>
      <c r="B21" t="s">
        <v>950</v>
      </c>
      <c r="C21">
        <v>0.15</v>
      </c>
    </row>
    <row r="22" spans="1:3" x14ac:dyDescent="0.25">
      <c r="A22" t="s">
        <v>951</v>
      </c>
      <c r="B22" t="s">
        <v>952</v>
      </c>
      <c r="C22">
        <v>0.1</v>
      </c>
    </row>
    <row r="23" spans="1:3" x14ac:dyDescent="0.25">
      <c r="A23" t="s">
        <v>953</v>
      </c>
      <c r="B23" t="s">
        <v>954</v>
      </c>
      <c r="C23">
        <v>0.1</v>
      </c>
    </row>
    <row r="24" spans="1:3" x14ac:dyDescent="0.25">
      <c r="A24" t="s">
        <v>955</v>
      </c>
      <c r="B24" t="s">
        <v>956</v>
      </c>
      <c r="C24">
        <v>0.15</v>
      </c>
    </row>
    <row r="25" spans="1:3" x14ac:dyDescent="0.25">
      <c r="A25" t="s">
        <v>957</v>
      </c>
      <c r="B25" t="s">
        <v>958</v>
      </c>
      <c r="C25">
        <v>0.05</v>
      </c>
    </row>
    <row r="26" spans="1:3" x14ac:dyDescent="0.25">
      <c r="A26" t="s">
        <v>959</v>
      </c>
      <c r="B26" t="s">
        <v>960</v>
      </c>
      <c r="C26">
        <v>0.05</v>
      </c>
    </row>
    <row r="27" spans="1:3" x14ac:dyDescent="0.25">
      <c r="A27" t="s">
        <v>961</v>
      </c>
      <c r="B27" t="s">
        <v>962</v>
      </c>
      <c r="C27">
        <v>0.05</v>
      </c>
    </row>
    <row r="28" spans="1:3" x14ac:dyDescent="0.25">
      <c r="A28" t="s">
        <v>963</v>
      </c>
      <c r="B28" t="s">
        <v>964</v>
      </c>
      <c r="C28">
        <v>2.5000000000000001E-2</v>
      </c>
    </row>
    <row r="29" spans="1:3" x14ac:dyDescent="0.25">
      <c r="A29" t="s">
        <v>965</v>
      </c>
      <c r="B29" t="s">
        <v>966</v>
      </c>
      <c r="C29">
        <v>2.5000000000000001E-2</v>
      </c>
    </row>
    <row r="30" spans="1:3" x14ac:dyDescent="0.25">
      <c r="A30" t="s">
        <v>967</v>
      </c>
      <c r="B30" t="s">
        <v>968</v>
      </c>
      <c r="C30">
        <v>0.6</v>
      </c>
    </row>
    <row r="31" spans="1:3" x14ac:dyDescent="0.25">
      <c r="A31" t="s">
        <v>969</v>
      </c>
      <c r="B31" t="s">
        <v>970</v>
      </c>
      <c r="C31">
        <v>0.3</v>
      </c>
    </row>
    <row r="32" spans="1:3" x14ac:dyDescent="0.25">
      <c r="A32" t="s">
        <v>971</v>
      </c>
      <c r="B32" t="s">
        <v>972</v>
      </c>
      <c r="C32">
        <v>0.1</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43"/>
  <sheetViews>
    <sheetView workbookViewId="0"/>
  </sheetViews>
  <sheetFormatPr defaultRowHeight="15" x14ac:dyDescent="0.25"/>
  <sheetData>
    <row r="1" spans="1:2" x14ac:dyDescent="0.25">
      <c r="A1" t="s">
        <v>20</v>
      </c>
      <c r="B1" t="s">
        <v>973</v>
      </c>
    </row>
    <row r="2" spans="1:2" x14ac:dyDescent="0.25">
      <c r="A2" t="s">
        <v>974</v>
      </c>
      <c r="B2" t="s">
        <v>975</v>
      </c>
    </row>
    <row r="3" spans="1:2" x14ac:dyDescent="0.25">
      <c r="A3" t="s">
        <v>976</v>
      </c>
      <c r="B3" t="s">
        <v>977</v>
      </c>
    </row>
    <row r="4" spans="1:2" x14ac:dyDescent="0.25">
      <c r="A4" t="s">
        <v>978</v>
      </c>
      <c r="B4" t="s">
        <v>979</v>
      </c>
    </row>
    <row r="5" spans="1:2" x14ac:dyDescent="0.25">
      <c r="A5" t="s">
        <v>980</v>
      </c>
      <c r="B5" t="s">
        <v>981</v>
      </c>
    </row>
    <row r="6" spans="1:2" x14ac:dyDescent="0.25">
      <c r="A6" t="s">
        <v>982</v>
      </c>
      <c r="B6" t="s">
        <v>983</v>
      </c>
    </row>
    <row r="7" spans="1:2" x14ac:dyDescent="0.25">
      <c r="A7" t="s">
        <v>984</v>
      </c>
      <c r="B7" t="s">
        <v>985</v>
      </c>
    </row>
    <row r="8" spans="1:2" x14ac:dyDescent="0.25">
      <c r="A8" t="s">
        <v>986</v>
      </c>
      <c r="B8" t="s">
        <v>987</v>
      </c>
    </row>
    <row r="9" spans="1:2" x14ac:dyDescent="0.25">
      <c r="A9" t="s">
        <v>988</v>
      </c>
      <c r="B9" t="s">
        <v>989</v>
      </c>
    </row>
    <row r="10" spans="1:2" x14ac:dyDescent="0.25">
      <c r="A10" t="s">
        <v>990</v>
      </c>
      <c r="B10" t="s">
        <v>991</v>
      </c>
    </row>
    <row r="11" spans="1:2" x14ac:dyDescent="0.25">
      <c r="A11" t="s">
        <v>992</v>
      </c>
      <c r="B11" t="s">
        <v>993</v>
      </c>
    </row>
    <row r="12" spans="1:2" x14ac:dyDescent="0.25">
      <c r="A12" t="s">
        <v>994</v>
      </c>
      <c r="B12" t="s">
        <v>995</v>
      </c>
    </row>
    <row r="13" spans="1:2" x14ac:dyDescent="0.25">
      <c r="A13" t="s">
        <v>996</v>
      </c>
      <c r="B13" t="s">
        <v>997</v>
      </c>
    </row>
    <row r="14" spans="1:2" x14ac:dyDescent="0.25">
      <c r="A14" t="s">
        <v>998</v>
      </c>
      <c r="B14" t="s">
        <v>999</v>
      </c>
    </row>
    <row r="15" spans="1:2" x14ac:dyDescent="0.25">
      <c r="A15" t="s">
        <v>1000</v>
      </c>
      <c r="B15" t="s">
        <v>1001</v>
      </c>
    </row>
    <row r="16" spans="1:2" x14ac:dyDescent="0.25">
      <c r="A16" t="s">
        <v>1002</v>
      </c>
      <c r="B16" t="s">
        <v>1003</v>
      </c>
    </row>
    <row r="17" spans="1:2" x14ac:dyDescent="0.25">
      <c r="A17" t="s">
        <v>1004</v>
      </c>
      <c r="B17" t="s">
        <v>1005</v>
      </c>
    </row>
    <row r="18" spans="1:2" x14ac:dyDescent="0.25">
      <c r="A18" t="s">
        <v>1006</v>
      </c>
      <c r="B18" t="s">
        <v>1007</v>
      </c>
    </row>
    <row r="19" spans="1:2" x14ac:dyDescent="0.25">
      <c r="A19" t="s">
        <v>1008</v>
      </c>
      <c r="B19" t="s">
        <v>1009</v>
      </c>
    </row>
    <row r="20" spans="1:2" x14ac:dyDescent="0.25">
      <c r="A20" t="s">
        <v>1010</v>
      </c>
      <c r="B20" t="s">
        <v>1011</v>
      </c>
    </row>
    <row r="21" spans="1:2" x14ac:dyDescent="0.25">
      <c r="A21" t="s">
        <v>1012</v>
      </c>
      <c r="B21" t="s">
        <v>1013</v>
      </c>
    </row>
    <row r="22" spans="1:2" x14ac:dyDescent="0.25">
      <c r="A22" t="s">
        <v>1014</v>
      </c>
      <c r="B22" t="s">
        <v>1015</v>
      </c>
    </row>
    <row r="23" spans="1:2" x14ac:dyDescent="0.25">
      <c r="A23" t="s">
        <v>1016</v>
      </c>
      <c r="B23" t="s">
        <v>1017</v>
      </c>
    </row>
    <row r="24" spans="1:2" x14ac:dyDescent="0.25">
      <c r="A24" t="s">
        <v>1018</v>
      </c>
      <c r="B24" t="s">
        <v>1019</v>
      </c>
    </row>
    <row r="25" spans="1:2" x14ac:dyDescent="0.25">
      <c r="A25" t="s">
        <v>1020</v>
      </c>
      <c r="B25" t="s">
        <v>1021</v>
      </c>
    </row>
    <row r="26" spans="1:2" x14ac:dyDescent="0.25">
      <c r="A26" t="s">
        <v>1022</v>
      </c>
      <c r="B26" t="s">
        <v>1023</v>
      </c>
    </row>
    <row r="27" spans="1:2" x14ac:dyDescent="0.25">
      <c r="A27" t="s">
        <v>1024</v>
      </c>
      <c r="B27" t="s">
        <v>1025</v>
      </c>
    </row>
    <row r="28" spans="1:2" x14ac:dyDescent="0.25">
      <c r="A28" t="s">
        <v>1026</v>
      </c>
      <c r="B28" t="s">
        <v>1027</v>
      </c>
    </row>
    <row r="29" spans="1:2" x14ac:dyDescent="0.25">
      <c r="A29" t="s">
        <v>1028</v>
      </c>
      <c r="B29" t="s">
        <v>1029</v>
      </c>
    </row>
    <row r="30" spans="1:2" x14ac:dyDescent="0.25">
      <c r="A30" t="s">
        <v>1030</v>
      </c>
      <c r="B30" t="s">
        <v>1031</v>
      </c>
    </row>
    <row r="31" spans="1:2" x14ac:dyDescent="0.25">
      <c r="A31" t="s">
        <v>1032</v>
      </c>
      <c r="B31" t="s">
        <v>1033</v>
      </c>
    </row>
    <row r="32" spans="1:2" x14ac:dyDescent="0.25">
      <c r="A32" t="s">
        <v>1034</v>
      </c>
      <c r="B32" t="s">
        <v>1035</v>
      </c>
    </row>
    <row r="33" spans="1:2" x14ac:dyDescent="0.25">
      <c r="A33" t="s">
        <v>1036</v>
      </c>
      <c r="B33" t="s">
        <v>1037</v>
      </c>
    </row>
    <row r="34" spans="1:2" x14ac:dyDescent="0.25">
      <c r="A34" t="s">
        <v>1038</v>
      </c>
      <c r="B34" t="s">
        <v>1039</v>
      </c>
    </row>
    <row r="35" spans="1:2" x14ac:dyDescent="0.25">
      <c r="A35" t="s">
        <v>1040</v>
      </c>
      <c r="B35" t="s">
        <v>1041</v>
      </c>
    </row>
    <row r="36" spans="1:2" x14ac:dyDescent="0.25">
      <c r="A36" t="s">
        <v>1042</v>
      </c>
      <c r="B36" t="s">
        <v>1043</v>
      </c>
    </row>
    <row r="37" spans="1:2" x14ac:dyDescent="0.25">
      <c r="A37" t="s">
        <v>1044</v>
      </c>
      <c r="B37" t="s">
        <v>1045</v>
      </c>
    </row>
    <row r="38" spans="1:2" x14ac:dyDescent="0.25">
      <c r="A38" t="s">
        <v>1046</v>
      </c>
      <c r="B38" t="s">
        <v>1047</v>
      </c>
    </row>
    <row r="39" spans="1:2" x14ac:dyDescent="0.25">
      <c r="A39" t="s">
        <v>1048</v>
      </c>
      <c r="B39" t="s">
        <v>1049</v>
      </c>
    </row>
    <row r="40" spans="1:2" x14ac:dyDescent="0.25">
      <c r="A40" t="s">
        <v>1050</v>
      </c>
      <c r="B40" t="s">
        <v>1051</v>
      </c>
    </row>
    <row r="41" spans="1:2" x14ac:dyDescent="0.25">
      <c r="A41" t="s">
        <v>1052</v>
      </c>
      <c r="B41" t="s">
        <v>1053</v>
      </c>
    </row>
    <row r="42" spans="1:2" x14ac:dyDescent="0.25">
      <c r="A42" t="s">
        <v>1054</v>
      </c>
      <c r="B42" t="s">
        <v>1055</v>
      </c>
    </row>
    <row r="43" spans="1:2" x14ac:dyDescent="0.25">
      <c r="A43" t="s">
        <v>1056</v>
      </c>
      <c r="B43" t="s">
        <v>1057</v>
      </c>
    </row>
    <row r="44" spans="1:2" x14ac:dyDescent="0.25">
      <c r="A44" t="s">
        <v>1058</v>
      </c>
      <c r="B44" t="s">
        <v>1059</v>
      </c>
    </row>
    <row r="45" spans="1:2" x14ac:dyDescent="0.25">
      <c r="A45" t="s">
        <v>1060</v>
      </c>
      <c r="B45" t="s">
        <v>1061</v>
      </c>
    </row>
    <row r="46" spans="1:2" x14ac:dyDescent="0.25">
      <c r="A46" t="s">
        <v>1062</v>
      </c>
      <c r="B46" t="s">
        <v>1063</v>
      </c>
    </row>
    <row r="47" spans="1:2" x14ac:dyDescent="0.25">
      <c r="A47" t="s">
        <v>1064</v>
      </c>
      <c r="B47" t="s">
        <v>1065</v>
      </c>
    </row>
    <row r="48" spans="1:2" x14ac:dyDescent="0.25">
      <c r="A48" t="s">
        <v>1066</v>
      </c>
      <c r="B48" t="s">
        <v>1067</v>
      </c>
    </row>
    <row r="49" spans="1:2" x14ac:dyDescent="0.25">
      <c r="A49" t="s">
        <v>1068</v>
      </c>
      <c r="B49" t="s">
        <v>1069</v>
      </c>
    </row>
    <row r="50" spans="1:2" x14ac:dyDescent="0.25">
      <c r="A50" t="s">
        <v>1070</v>
      </c>
      <c r="B50" t="s">
        <v>1071</v>
      </c>
    </row>
    <row r="51" spans="1:2" x14ac:dyDescent="0.25">
      <c r="A51" t="s">
        <v>1072</v>
      </c>
      <c r="B51" t="s">
        <v>1073</v>
      </c>
    </row>
    <row r="52" spans="1:2" x14ac:dyDescent="0.25">
      <c r="A52" t="s">
        <v>1074</v>
      </c>
      <c r="B52" t="s">
        <v>1075</v>
      </c>
    </row>
    <row r="53" spans="1:2" x14ac:dyDescent="0.25">
      <c r="A53" t="s">
        <v>1076</v>
      </c>
      <c r="B53" t="s">
        <v>1077</v>
      </c>
    </row>
    <row r="54" spans="1:2" x14ac:dyDescent="0.25">
      <c r="A54" t="s">
        <v>1078</v>
      </c>
      <c r="B54" t="s">
        <v>1079</v>
      </c>
    </row>
    <row r="55" spans="1:2" x14ac:dyDescent="0.25">
      <c r="A55" t="s">
        <v>1080</v>
      </c>
      <c r="B55" t="s">
        <v>1081</v>
      </c>
    </row>
    <row r="56" spans="1:2" x14ac:dyDescent="0.25">
      <c r="A56" t="s">
        <v>1082</v>
      </c>
      <c r="B56" t="s">
        <v>1083</v>
      </c>
    </row>
    <row r="57" spans="1:2" x14ac:dyDescent="0.25">
      <c r="A57" t="s">
        <v>1084</v>
      </c>
      <c r="B57" t="s">
        <v>1085</v>
      </c>
    </row>
    <row r="58" spans="1:2" x14ac:dyDescent="0.25">
      <c r="A58" t="s">
        <v>1086</v>
      </c>
      <c r="B58" t="s">
        <v>1087</v>
      </c>
    </row>
    <row r="59" spans="1:2" x14ac:dyDescent="0.25">
      <c r="A59" t="s">
        <v>1088</v>
      </c>
      <c r="B59" t="s">
        <v>1089</v>
      </c>
    </row>
    <row r="60" spans="1:2" x14ac:dyDescent="0.25">
      <c r="A60" t="s">
        <v>1090</v>
      </c>
      <c r="B60" t="s">
        <v>1091</v>
      </c>
    </row>
    <row r="61" spans="1:2" x14ac:dyDescent="0.25">
      <c r="A61" t="s">
        <v>1092</v>
      </c>
      <c r="B61" t="s">
        <v>1093</v>
      </c>
    </row>
    <row r="62" spans="1:2" x14ac:dyDescent="0.25">
      <c r="A62" t="s">
        <v>1094</v>
      </c>
      <c r="B62" t="s">
        <v>1095</v>
      </c>
    </row>
    <row r="63" spans="1:2" x14ac:dyDescent="0.25">
      <c r="A63" t="s">
        <v>1096</v>
      </c>
      <c r="B63" t="s">
        <v>1097</v>
      </c>
    </row>
    <row r="64" spans="1:2" x14ac:dyDescent="0.25">
      <c r="A64" t="s">
        <v>1098</v>
      </c>
      <c r="B64" t="s">
        <v>1099</v>
      </c>
    </row>
    <row r="65" spans="1:2" x14ac:dyDescent="0.25">
      <c r="A65" t="s">
        <v>1100</v>
      </c>
      <c r="B65" t="s">
        <v>1101</v>
      </c>
    </row>
    <row r="66" spans="1:2" x14ac:dyDescent="0.25">
      <c r="A66" t="s">
        <v>1102</v>
      </c>
      <c r="B66" t="s">
        <v>1103</v>
      </c>
    </row>
    <row r="67" spans="1:2" x14ac:dyDescent="0.25">
      <c r="A67" t="s">
        <v>1104</v>
      </c>
      <c r="B67" t="s">
        <v>1105</v>
      </c>
    </row>
    <row r="68" spans="1:2" x14ac:dyDescent="0.25">
      <c r="A68" t="s">
        <v>1106</v>
      </c>
      <c r="B68" t="s">
        <v>1107</v>
      </c>
    </row>
    <row r="69" spans="1:2" x14ac:dyDescent="0.25">
      <c r="A69" t="s">
        <v>1108</v>
      </c>
      <c r="B69" t="s">
        <v>1109</v>
      </c>
    </row>
    <row r="70" spans="1:2" x14ac:dyDescent="0.25">
      <c r="A70" t="s">
        <v>1110</v>
      </c>
      <c r="B70" t="s">
        <v>1111</v>
      </c>
    </row>
    <row r="71" spans="1:2" x14ac:dyDescent="0.25">
      <c r="A71" t="s">
        <v>1112</v>
      </c>
      <c r="B71" t="s">
        <v>1113</v>
      </c>
    </row>
    <row r="72" spans="1:2" x14ac:dyDescent="0.25">
      <c r="A72" t="s">
        <v>1114</v>
      </c>
      <c r="B72" t="s">
        <v>1115</v>
      </c>
    </row>
    <row r="73" spans="1:2" x14ac:dyDescent="0.25">
      <c r="A73" t="s">
        <v>1116</v>
      </c>
      <c r="B73" t="s">
        <v>1117</v>
      </c>
    </row>
    <row r="74" spans="1:2" x14ac:dyDescent="0.25">
      <c r="A74" t="s">
        <v>1118</v>
      </c>
      <c r="B74" t="s">
        <v>1119</v>
      </c>
    </row>
    <row r="75" spans="1:2" x14ac:dyDescent="0.25">
      <c r="A75" t="s">
        <v>1120</v>
      </c>
      <c r="B75" t="s">
        <v>1121</v>
      </c>
    </row>
    <row r="76" spans="1:2" x14ac:dyDescent="0.25">
      <c r="A76" t="s">
        <v>1122</v>
      </c>
      <c r="B76" t="s">
        <v>1123</v>
      </c>
    </row>
    <row r="77" spans="1:2" x14ac:dyDescent="0.25">
      <c r="A77" t="s">
        <v>1124</v>
      </c>
      <c r="B77" t="s">
        <v>1125</v>
      </c>
    </row>
    <row r="78" spans="1:2" x14ac:dyDescent="0.25">
      <c r="A78" t="s">
        <v>1126</v>
      </c>
      <c r="B78" t="s">
        <v>1127</v>
      </c>
    </row>
    <row r="79" spans="1:2" x14ac:dyDescent="0.25">
      <c r="A79" t="s">
        <v>1128</v>
      </c>
      <c r="B79" t="s">
        <v>1129</v>
      </c>
    </row>
    <row r="80" spans="1:2" x14ac:dyDescent="0.25">
      <c r="A80" t="s">
        <v>1130</v>
      </c>
      <c r="B80" t="s">
        <v>1131</v>
      </c>
    </row>
    <row r="81" spans="1:2" x14ac:dyDescent="0.25">
      <c r="A81" t="s">
        <v>1132</v>
      </c>
      <c r="B81" t="s">
        <v>1133</v>
      </c>
    </row>
    <row r="82" spans="1:2" x14ac:dyDescent="0.25">
      <c r="A82" t="s">
        <v>1134</v>
      </c>
      <c r="B82" t="s">
        <v>1135</v>
      </c>
    </row>
    <row r="83" spans="1:2" x14ac:dyDescent="0.25">
      <c r="A83" t="s">
        <v>1136</v>
      </c>
      <c r="B83" t="s">
        <v>1137</v>
      </c>
    </row>
    <row r="84" spans="1:2" x14ac:dyDescent="0.25">
      <c r="A84" t="s">
        <v>1138</v>
      </c>
      <c r="B84" t="s">
        <v>1139</v>
      </c>
    </row>
    <row r="85" spans="1:2" x14ac:dyDescent="0.25">
      <c r="A85" t="s">
        <v>1140</v>
      </c>
      <c r="B85" t="s">
        <v>1141</v>
      </c>
    </row>
    <row r="86" spans="1:2" x14ac:dyDescent="0.25">
      <c r="A86" t="s">
        <v>1142</v>
      </c>
      <c r="B86" t="s">
        <v>1143</v>
      </c>
    </row>
    <row r="87" spans="1:2" x14ac:dyDescent="0.25">
      <c r="A87" t="s">
        <v>1144</v>
      </c>
      <c r="B87" t="s">
        <v>1145</v>
      </c>
    </row>
    <row r="88" spans="1:2" x14ac:dyDescent="0.25">
      <c r="A88" t="s">
        <v>1146</v>
      </c>
      <c r="B88" t="s">
        <v>1147</v>
      </c>
    </row>
    <row r="89" spans="1:2" x14ac:dyDescent="0.25">
      <c r="A89" t="s">
        <v>1148</v>
      </c>
      <c r="B89" t="s">
        <v>1149</v>
      </c>
    </row>
    <row r="90" spans="1:2" x14ac:dyDescent="0.25">
      <c r="A90" t="s">
        <v>1150</v>
      </c>
      <c r="B90" t="s">
        <v>1151</v>
      </c>
    </row>
    <row r="91" spans="1:2" x14ac:dyDescent="0.25">
      <c r="A91" t="s">
        <v>1152</v>
      </c>
      <c r="B91" t="s">
        <v>1153</v>
      </c>
    </row>
    <row r="92" spans="1:2" x14ac:dyDescent="0.25">
      <c r="A92" t="s">
        <v>1154</v>
      </c>
      <c r="B92" t="s">
        <v>1155</v>
      </c>
    </row>
    <row r="93" spans="1:2" x14ac:dyDescent="0.25">
      <c r="A93" t="s">
        <v>1156</v>
      </c>
      <c r="B93" t="s">
        <v>1157</v>
      </c>
    </row>
    <row r="94" spans="1:2" x14ac:dyDescent="0.25">
      <c r="A94" t="s">
        <v>1158</v>
      </c>
      <c r="B94" t="s">
        <v>1159</v>
      </c>
    </row>
    <row r="95" spans="1:2" x14ac:dyDescent="0.25">
      <c r="A95" t="s">
        <v>1160</v>
      </c>
      <c r="B95" t="s">
        <v>1161</v>
      </c>
    </row>
    <row r="96" spans="1:2" x14ac:dyDescent="0.25">
      <c r="A96" t="s">
        <v>1162</v>
      </c>
      <c r="B96" t="s">
        <v>1163</v>
      </c>
    </row>
    <row r="97" spans="1:2" x14ac:dyDescent="0.25">
      <c r="A97" t="s">
        <v>1164</v>
      </c>
      <c r="B97" t="s">
        <v>1165</v>
      </c>
    </row>
    <row r="98" spans="1:2" x14ac:dyDescent="0.25">
      <c r="A98" t="s">
        <v>1166</v>
      </c>
      <c r="B98" t="s">
        <v>1167</v>
      </c>
    </row>
    <row r="99" spans="1:2" x14ac:dyDescent="0.25">
      <c r="A99" t="s">
        <v>1168</v>
      </c>
      <c r="B99" t="s">
        <v>1169</v>
      </c>
    </row>
    <row r="100" spans="1:2" x14ac:dyDescent="0.25">
      <c r="A100" t="s">
        <v>1170</v>
      </c>
      <c r="B100" t="s">
        <v>1171</v>
      </c>
    </row>
    <row r="101" spans="1:2" x14ac:dyDescent="0.25">
      <c r="A101" t="s">
        <v>1172</v>
      </c>
      <c r="B101" t="s">
        <v>1173</v>
      </c>
    </row>
    <row r="102" spans="1:2" x14ac:dyDescent="0.25">
      <c r="A102" t="s">
        <v>1174</v>
      </c>
      <c r="B102" t="s">
        <v>1175</v>
      </c>
    </row>
    <row r="103" spans="1:2" x14ac:dyDescent="0.25">
      <c r="A103" t="s">
        <v>1176</v>
      </c>
      <c r="B103" t="s">
        <v>1177</v>
      </c>
    </row>
    <row r="104" spans="1:2" x14ac:dyDescent="0.25">
      <c r="A104" t="s">
        <v>1178</v>
      </c>
      <c r="B104" t="s">
        <v>1179</v>
      </c>
    </row>
    <row r="105" spans="1:2" x14ac:dyDescent="0.25">
      <c r="A105" t="s">
        <v>1180</v>
      </c>
      <c r="B105" t="s">
        <v>1181</v>
      </c>
    </row>
    <row r="106" spans="1:2" x14ac:dyDescent="0.25">
      <c r="A106" t="s">
        <v>1182</v>
      </c>
      <c r="B106" t="s">
        <v>1183</v>
      </c>
    </row>
    <row r="107" spans="1:2" x14ac:dyDescent="0.25">
      <c r="A107" t="s">
        <v>1184</v>
      </c>
      <c r="B107" t="s">
        <v>1185</v>
      </c>
    </row>
    <row r="108" spans="1:2" x14ac:dyDescent="0.25">
      <c r="A108" t="s">
        <v>1186</v>
      </c>
      <c r="B108" t="s">
        <v>1187</v>
      </c>
    </row>
    <row r="109" spans="1:2" x14ac:dyDescent="0.25">
      <c r="A109" t="s">
        <v>1188</v>
      </c>
      <c r="B109" t="s">
        <v>1189</v>
      </c>
    </row>
    <row r="110" spans="1:2" x14ac:dyDescent="0.25">
      <c r="A110" t="s">
        <v>1190</v>
      </c>
      <c r="B110" t="s">
        <v>1191</v>
      </c>
    </row>
    <row r="111" spans="1:2" x14ac:dyDescent="0.25">
      <c r="A111" t="s">
        <v>1192</v>
      </c>
      <c r="B111" t="s">
        <v>1193</v>
      </c>
    </row>
    <row r="112" spans="1:2" x14ac:dyDescent="0.25">
      <c r="A112" t="s">
        <v>1194</v>
      </c>
      <c r="B112" t="s">
        <v>1195</v>
      </c>
    </row>
    <row r="113" spans="1:2" x14ac:dyDescent="0.25">
      <c r="A113" t="s">
        <v>1196</v>
      </c>
      <c r="B113" t="s">
        <v>1197</v>
      </c>
    </row>
    <row r="114" spans="1:2" x14ac:dyDescent="0.25">
      <c r="A114" t="s">
        <v>1198</v>
      </c>
      <c r="B114" t="s">
        <v>1199</v>
      </c>
    </row>
    <row r="115" spans="1:2" x14ac:dyDescent="0.25">
      <c r="A115" t="s">
        <v>1200</v>
      </c>
      <c r="B115" t="s">
        <v>1201</v>
      </c>
    </row>
    <row r="116" spans="1:2" x14ac:dyDescent="0.25">
      <c r="A116" t="s">
        <v>1202</v>
      </c>
      <c r="B116" t="s">
        <v>1203</v>
      </c>
    </row>
    <row r="117" spans="1:2" x14ac:dyDescent="0.25">
      <c r="A117" t="s">
        <v>1204</v>
      </c>
      <c r="B117" t="s">
        <v>1205</v>
      </c>
    </row>
    <row r="118" spans="1:2" x14ac:dyDescent="0.25">
      <c r="A118" t="s">
        <v>1206</v>
      </c>
      <c r="B118" t="s">
        <v>1207</v>
      </c>
    </row>
    <row r="119" spans="1:2" x14ac:dyDescent="0.25">
      <c r="A119" t="s">
        <v>1208</v>
      </c>
      <c r="B119" t="s">
        <v>1209</v>
      </c>
    </row>
    <row r="120" spans="1:2" x14ac:dyDescent="0.25">
      <c r="A120" t="s">
        <v>1210</v>
      </c>
      <c r="B120" t="s">
        <v>1211</v>
      </c>
    </row>
    <row r="121" spans="1:2" x14ac:dyDescent="0.25">
      <c r="A121" t="s">
        <v>1212</v>
      </c>
      <c r="B121" t="s">
        <v>1213</v>
      </c>
    </row>
    <row r="122" spans="1:2" x14ac:dyDescent="0.25">
      <c r="A122" t="s">
        <v>1214</v>
      </c>
      <c r="B122" t="s">
        <v>1215</v>
      </c>
    </row>
    <row r="123" spans="1:2" x14ac:dyDescent="0.25">
      <c r="A123" t="s">
        <v>1216</v>
      </c>
      <c r="B123" t="s">
        <v>1217</v>
      </c>
    </row>
    <row r="124" spans="1:2" x14ac:dyDescent="0.25">
      <c r="A124" t="s">
        <v>1218</v>
      </c>
      <c r="B124" t="s">
        <v>1219</v>
      </c>
    </row>
    <row r="125" spans="1:2" x14ac:dyDescent="0.25">
      <c r="A125" t="s">
        <v>1220</v>
      </c>
      <c r="B125" t="s">
        <v>1221</v>
      </c>
    </row>
    <row r="126" spans="1:2" x14ac:dyDescent="0.25">
      <c r="A126" t="s">
        <v>1222</v>
      </c>
      <c r="B126" t="s">
        <v>1223</v>
      </c>
    </row>
    <row r="127" spans="1:2" x14ac:dyDescent="0.25">
      <c r="A127" t="s">
        <v>1224</v>
      </c>
      <c r="B127" t="s">
        <v>1225</v>
      </c>
    </row>
    <row r="128" spans="1:2" x14ac:dyDescent="0.25">
      <c r="A128" t="s">
        <v>1226</v>
      </c>
      <c r="B128" t="s">
        <v>1227</v>
      </c>
    </row>
    <row r="129" spans="1:2" x14ac:dyDescent="0.25">
      <c r="A129" t="s">
        <v>1228</v>
      </c>
      <c r="B129" t="s">
        <v>1229</v>
      </c>
    </row>
    <row r="130" spans="1:2" x14ac:dyDescent="0.25">
      <c r="A130" t="s">
        <v>1230</v>
      </c>
      <c r="B130" t="s">
        <v>1231</v>
      </c>
    </row>
    <row r="131" spans="1:2" x14ac:dyDescent="0.25">
      <c r="A131" t="s">
        <v>1232</v>
      </c>
      <c r="B131" t="s">
        <v>1233</v>
      </c>
    </row>
    <row r="132" spans="1:2" x14ac:dyDescent="0.25">
      <c r="A132" t="s">
        <v>1234</v>
      </c>
      <c r="B132" t="s">
        <v>1235</v>
      </c>
    </row>
    <row r="133" spans="1:2" x14ac:dyDescent="0.25">
      <c r="A133" t="s">
        <v>1236</v>
      </c>
      <c r="B133" t="s">
        <v>1237</v>
      </c>
    </row>
    <row r="134" spans="1:2" x14ac:dyDescent="0.25">
      <c r="A134" t="s">
        <v>1238</v>
      </c>
      <c r="B134" t="s">
        <v>1239</v>
      </c>
    </row>
    <row r="135" spans="1:2" x14ac:dyDescent="0.25">
      <c r="A135" t="s">
        <v>1240</v>
      </c>
      <c r="B135" t="s">
        <v>1241</v>
      </c>
    </row>
    <row r="136" spans="1:2" x14ac:dyDescent="0.25">
      <c r="A136" t="s">
        <v>1242</v>
      </c>
      <c r="B136" t="s">
        <v>1243</v>
      </c>
    </row>
    <row r="137" spans="1:2" x14ac:dyDescent="0.25">
      <c r="A137" t="s">
        <v>1244</v>
      </c>
      <c r="B137" t="s">
        <v>1245</v>
      </c>
    </row>
    <row r="138" spans="1:2" x14ac:dyDescent="0.25">
      <c r="A138" t="s">
        <v>1246</v>
      </c>
      <c r="B138" t="s">
        <v>1247</v>
      </c>
    </row>
    <row r="139" spans="1:2" x14ac:dyDescent="0.25">
      <c r="A139" t="s">
        <v>1248</v>
      </c>
      <c r="B139" t="s">
        <v>1249</v>
      </c>
    </row>
    <row r="140" spans="1:2" x14ac:dyDescent="0.25">
      <c r="A140" t="s">
        <v>37</v>
      </c>
      <c r="B140" t="s">
        <v>1250</v>
      </c>
    </row>
    <row r="141" spans="1:2" x14ac:dyDescent="0.25">
      <c r="A141" t="s">
        <v>42</v>
      </c>
      <c r="B141" t="s">
        <v>1251</v>
      </c>
    </row>
    <row r="142" spans="1:2" x14ac:dyDescent="0.25">
      <c r="A142" t="s">
        <v>44</v>
      </c>
      <c r="B142" t="s">
        <v>1252</v>
      </c>
    </row>
    <row r="143" spans="1:2" x14ac:dyDescent="0.25">
      <c r="A143" t="s">
        <v>46</v>
      </c>
      <c r="B143" t="s">
        <v>1253</v>
      </c>
    </row>
    <row r="144" spans="1:2" x14ac:dyDescent="0.25">
      <c r="A144" t="s">
        <v>48</v>
      </c>
      <c r="B144" t="s">
        <v>1254</v>
      </c>
    </row>
    <row r="145" spans="1:2" x14ac:dyDescent="0.25">
      <c r="A145" t="s">
        <v>52</v>
      </c>
      <c r="B145" t="s">
        <v>1255</v>
      </c>
    </row>
    <row r="146" spans="1:2" x14ac:dyDescent="0.25">
      <c r="A146" t="s">
        <v>56</v>
      </c>
      <c r="B146" t="s">
        <v>1256</v>
      </c>
    </row>
    <row r="147" spans="1:2" x14ac:dyDescent="0.25">
      <c r="A147" t="s">
        <v>59</v>
      </c>
      <c r="B147" t="s">
        <v>1257</v>
      </c>
    </row>
    <row r="148" spans="1:2" x14ac:dyDescent="0.25">
      <c r="A148" t="s">
        <v>61</v>
      </c>
      <c r="B148" t="s">
        <v>1258</v>
      </c>
    </row>
    <row r="149" spans="1:2" x14ac:dyDescent="0.25">
      <c r="A149" t="s">
        <v>96</v>
      </c>
      <c r="B149" t="s">
        <v>1259</v>
      </c>
    </row>
    <row r="150" spans="1:2" x14ac:dyDescent="0.25">
      <c r="A150" t="s">
        <v>99</v>
      </c>
      <c r="B150" t="s">
        <v>1260</v>
      </c>
    </row>
    <row r="151" spans="1:2" x14ac:dyDescent="0.25">
      <c r="A151" t="s">
        <v>101</v>
      </c>
      <c r="B151" t="s">
        <v>1261</v>
      </c>
    </row>
    <row r="152" spans="1:2" x14ac:dyDescent="0.25">
      <c r="A152" t="s">
        <v>103</v>
      </c>
      <c r="B152" t="s">
        <v>1262</v>
      </c>
    </row>
    <row r="153" spans="1:2" x14ac:dyDescent="0.25">
      <c r="A153" t="s">
        <v>105</v>
      </c>
      <c r="B153" t="s">
        <v>1263</v>
      </c>
    </row>
    <row r="154" spans="1:2" x14ac:dyDescent="0.25">
      <c r="A154" t="s">
        <v>107</v>
      </c>
      <c r="B154" t="s">
        <v>1264</v>
      </c>
    </row>
    <row r="155" spans="1:2" x14ac:dyDescent="0.25">
      <c r="A155" t="s">
        <v>109</v>
      </c>
      <c r="B155" t="s">
        <v>1265</v>
      </c>
    </row>
    <row r="156" spans="1:2" x14ac:dyDescent="0.25">
      <c r="A156" t="s">
        <v>111</v>
      </c>
      <c r="B156" t="s">
        <v>1266</v>
      </c>
    </row>
    <row r="157" spans="1:2" x14ac:dyDescent="0.25">
      <c r="A157" t="s">
        <v>113</v>
      </c>
      <c r="B157" t="s">
        <v>1267</v>
      </c>
    </row>
    <row r="158" spans="1:2" x14ac:dyDescent="0.25">
      <c r="A158" t="s">
        <v>119</v>
      </c>
      <c r="B158" t="s">
        <v>1268</v>
      </c>
    </row>
    <row r="159" spans="1:2" x14ac:dyDescent="0.25">
      <c r="A159" t="s">
        <v>122</v>
      </c>
      <c r="B159" t="s">
        <v>1269</v>
      </c>
    </row>
    <row r="160" spans="1:2" x14ac:dyDescent="0.25">
      <c r="A160" t="s">
        <v>125</v>
      </c>
      <c r="B160" t="s">
        <v>1270</v>
      </c>
    </row>
    <row r="161" spans="1:2" x14ac:dyDescent="0.25">
      <c r="A161" t="s">
        <v>128</v>
      </c>
      <c r="B161" t="s">
        <v>1271</v>
      </c>
    </row>
    <row r="162" spans="1:2" x14ac:dyDescent="0.25">
      <c r="A162" t="s">
        <v>131</v>
      </c>
      <c r="B162" t="s">
        <v>1272</v>
      </c>
    </row>
    <row r="163" spans="1:2" x14ac:dyDescent="0.25">
      <c r="A163" t="s">
        <v>134</v>
      </c>
      <c r="B163" t="s">
        <v>1273</v>
      </c>
    </row>
    <row r="164" spans="1:2" x14ac:dyDescent="0.25">
      <c r="A164" t="s">
        <v>136</v>
      </c>
      <c r="B164" t="s">
        <v>1274</v>
      </c>
    </row>
    <row r="165" spans="1:2" x14ac:dyDescent="0.25">
      <c r="A165" t="s">
        <v>140</v>
      </c>
      <c r="B165" t="s">
        <v>1275</v>
      </c>
    </row>
    <row r="166" spans="1:2" x14ac:dyDescent="0.25">
      <c r="A166" t="s">
        <v>143</v>
      </c>
      <c r="B166" t="s">
        <v>1276</v>
      </c>
    </row>
    <row r="167" spans="1:2" x14ac:dyDescent="0.25">
      <c r="A167" t="s">
        <v>145</v>
      </c>
      <c r="B167" t="s">
        <v>1277</v>
      </c>
    </row>
    <row r="168" spans="1:2" x14ac:dyDescent="0.25">
      <c r="A168" t="s">
        <v>147</v>
      </c>
      <c r="B168" t="s">
        <v>1278</v>
      </c>
    </row>
    <row r="169" spans="1:2" x14ac:dyDescent="0.25">
      <c r="A169" t="s">
        <v>149</v>
      </c>
      <c r="B169" t="s">
        <v>1279</v>
      </c>
    </row>
    <row r="170" spans="1:2" x14ac:dyDescent="0.25">
      <c r="A170" t="s">
        <v>151</v>
      </c>
      <c r="B170" t="s">
        <v>1280</v>
      </c>
    </row>
    <row r="171" spans="1:2" x14ac:dyDescent="0.25">
      <c r="A171" t="s">
        <v>153</v>
      </c>
      <c r="B171" t="s">
        <v>1281</v>
      </c>
    </row>
    <row r="172" spans="1:2" x14ac:dyDescent="0.25">
      <c r="A172" t="s">
        <v>154</v>
      </c>
      <c r="B172" t="s">
        <v>1282</v>
      </c>
    </row>
    <row r="173" spans="1:2" x14ac:dyDescent="0.25">
      <c r="A173" t="s">
        <v>156</v>
      </c>
      <c r="B173" t="s">
        <v>1283</v>
      </c>
    </row>
    <row r="174" spans="1:2" x14ac:dyDescent="0.25">
      <c r="A174" t="s">
        <v>170</v>
      </c>
      <c r="B174" t="s">
        <v>1284</v>
      </c>
    </row>
    <row r="175" spans="1:2" x14ac:dyDescent="0.25">
      <c r="A175" t="s">
        <v>173</v>
      </c>
      <c r="B175" t="s">
        <v>1285</v>
      </c>
    </row>
    <row r="176" spans="1:2" x14ac:dyDescent="0.25">
      <c r="A176" t="s">
        <v>176</v>
      </c>
      <c r="B176" t="s">
        <v>1286</v>
      </c>
    </row>
    <row r="177" spans="1:2" x14ac:dyDescent="0.25">
      <c r="A177" t="s">
        <v>178</v>
      </c>
      <c r="B177" t="s">
        <v>1287</v>
      </c>
    </row>
    <row r="178" spans="1:2" x14ac:dyDescent="0.25">
      <c r="A178" t="s">
        <v>180</v>
      </c>
      <c r="B178" t="s">
        <v>1288</v>
      </c>
    </row>
    <row r="179" spans="1:2" x14ac:dyDescent="0.25">
      <c r="A179" t="s">
        <v>182</v>
      </c>
      <c r="B179" t="s">
        <v>1289</v>
      </c>
    </row>
    <row r="180" spans="1:2" x14ac:dyDescent="0.25">
      <c r="A180" t="s">
        <v>184</v>
      </c>
      <c r="B180" t="s">
        <v>1290</v>
      </c>
    </row>
    <row r="181" spans="1:2" x14ac:dyDescent="0.25">
      <c r="A181" t="s">
        <v>186</v>
      </c>
      <c r="B181" t="s">
        <v>1291</v>
      </c>
    </row>
    <row r="182" spans="1:2" x14ac:dyDescent="0.25">
      <c r="A182" t="s">
        <v>188</v>
      </c>
      <c r="B182" t="s">
        <v>1292</v>
      </c>
    </row>
    <row r="183" spans="1:2" x14ac:dyDescent="0.25">
      <c r="A183" t="s">
        <v>196</v>
      </c>
      <c r="B183" t="s">
        <v>1293</v>
      </c>
    </row>
    <row r="184" spans="1:2" x14ac:dyDescent="0.25">
      <c r="A184" t="s">
        <v>198</v>
      </c>
      <c r="B184" t="s">
        <v>1294</v>
      </c>
    </row>
    <row r="185" spans="1:2" x14ac:dyDescent="0.25">
      <c r="A185" t="s">
        <v>200</v>
      </c>
      <c r="B185" t="s">
        <v>1295</v>
      </c>
    </row>
    <row r="186" spans="1:2" x14ac:dyDescent="0.25">
      <c r="A186" t="s">
        <v>202</v>
      </c>
      <c r="B186" t="s">
        <v>1296</v>
      </c>
    </row>
    <row r="187" spans="1:2" x14ac:dyDescent="0.25">
      <c r="A187" t="s">
        <v>204</v>
      </c>
      <c r="B187" t="s">
        <v>1297</v>
      </c>
    </row>
    <row r="188" spans="1:2" x14ac:dyDescent="0.25">
      <c r="A188" t="s">
        <v>206</v>
      </c>
      <c r="B188" t="s">
        <v>1298</v>
      </c>
    </row>
    <row r="189" spans="1:2" x14ac:dyDescent="0.25">
      <c r="A189" t="s">
        <v>208</v>
      </c>
      <c r="B189" t="s">
        <v>1299</v>
      </c>
    </row>
    <row r="190" spans="1:2" x14ac:dyDescent="0.25">
      <c r="A190" t="s">
        <v>210</v>
      </c>
      <c r="B190" t="s">
        <v>1300</v>
      </c>
    </row>
    <row r="191" spans="1:2" x14ac:dyDescent="0.25">
      <c r="A191" t="s">
        <v>212</v>
      </c>
      <c r="B191" t="s">
        <v>1301</v>
      </c>
    </row>
    <row r="192" spans="1:2" x14ac:dyDescent="0.25">
      <c r="A192" t="s">
        <v>220</v>
      </c>
      <c r="B192" t="s">
        <v>1302</v>
      </c>
    </row>
    <row r="193" spans="1:2" x14ac:dyDescent="0.25">
      <c r="A193" t="s">
        <v>224</v>
      </c>
      <c r="B193" t="s">
        <v>1303</v>
      </c>
    </row>
    <row r="194" spans="1:2" x14ac:dyDescent="0.25">
      <c r="A194" t="s">
        <v>226</v>
      </c>
      <c r="B194" t="s">
        <v>1304</v>
      </c>
    </row>
    <row r="195" spans="1:2" x14ac:dyDescent="0.25">
      <c r="A195" t="s">
        <v>228</v>
      </c>
      <c r="B195" t="s">
        <v>1305</v>
      </c>
    </row>
    <row r="196" spans="1:2" x14ac:dyDescent="0.25">
      <c r="A196" t="s">
        <v>230</v>
      </c>
      <c r="B196" t="s">
        <v>1306</v>
      </c>
    </row>
    <row r="197" spans="1:2" x14ac:dyDescent="0.25">
      <c r="A197" t="s">
        <v>234</v>
      </c>
      <c r="B197" t="s">
        <v>1307</v>
      </c>
    </row>
    <row r="198" spans="1:2" x14ac:dyDescent="0.25">
      <c r="A198" t="s">
        <v>237</v>
      </c>
      <c r="B198" t="s">
        <v>1308</v>
      </c>
    </row>
    <row r="199" spans="1:2" x14ac:dyDescent="0.25">
      <c r="A199" t="s">
        <v>240</v>
      </c>
      <c r="B199" t="s">
        <v>1309</v>
      </c>
    </row>
    <row r="200" spans="1:2" x14ac:dyDescent="0.25">
      <c r="A200" t="s">
        <v>243</v>
      </c>
      <c r="B200" t="s">
        <v>1310</v>
      </c>
    </row>
    <row r="201" spans="1:2" x14ac:dyDescent="0.25">
      <c r="A201" t="s">
        <v>246</v>
      </c>
      <c r="B201" t="s">
        <v>1311</v>
      </c>
    </row>
    <row r="202" spans="1:2" x14ac:dyDescent="0.25">
      <c r="A202" t="s">
        <v>249</v>
      </c>
      <c r="B202" t="s">
        <v>1312</v>
      </c>
    </row>
    <row r="203" spans="1:2" x14ac:dyDescent="0.25">
      <c r="A203" t="s">
        <v>255</v>
      </c>
      <c r="B203" t="s">
        <v>1313</v>
      </c>
    </row>
    <row r="204" spans="1:2" x14ac:dyDescent="0.25">
      <c r="A204" t="s">
        <v>258</v>
      </c>
      <c r="B204" t="s">
        <v>1314</v>
      </c>
    </row>
    <row r="205" spans="1:2" x14ac:dyDescent="0.25">
      <c r="A205" t="s">
        <v>260</v>
      </c>
      <c r="B205" t="s">
        <v>1315</v>
      </c>
    </row>
    <row r="206" spans="1:2" x14ac:dyDescent="0.25">
      <c r="A206" t="s">
        <v>262</v>
      </c>
      <c r="B206" t="s">
        <v>1316</v>
      </c>
    </row>
    <row r="207" spans="1:2" x14ac:dyDescent="0.25">
      <c r="A207" t="s">
        <v>264</v>
      </c>
      <c r="B207" t="s">
        <v>1317</v>
      </c>
    </row>
    <row r="208" spans="1:2" x14ac:dyDescent="0.25">
      <c r="A208" t="s">
        <v>266</v>
      </c>
      <c r="B208" t="s">
        <v>1318</v>
      </c>
    </row>
    <row r="209" spans="1:2" x14ac:dyDescent="0.25">
      <c r="A209" t="s">
        <v>268</v>
      </c>
      <c r="B209" t="s">
        <v>1319</v>
      </c>
    </row>
    <row r="210" spans="1:2" x14ac:dyDescent="0.25">
      <c r="A210" t="s">
        <v>270</v>
      </c>
      <c r="B210" t="s">
        <v>1320</v>
      </c>
    </row>
    <row r="211" spans="1:2" x14ac:dyDescent="0.25">
      <c r="A211" t="s">
        <v>272</v>
      </c>
      <c r="B211" t="s">
        <v>1321</v>
      </c>
    </row>
    <row r="212" spans="1:2" x14ac:dyDescent="0.25">
      <c r="A212" t="s">
        <v>283</v>
      </c>
      <c r="B212" t="s">
        <v>1322</v>
      </c>
    </row>
    <row r="213" spans="1:2" x14ac:dyDescent="0.25">
      <c r="A213" t="s">
        <v>286</v>
      </c>
      <c r="B213" t="s">
        <v>1323</v>
      </c>
    </row>
    <row r="214" spans="1:2" x14ac:dyDescent="0.25">
      <c r="A214" t="s">
        <v>288</v>
      </c>
      <c r="B214" t="s">
        <v>1324</v>
      </c>
    </row>
    <row r="215" spans="1:2" x14ac:dyDescent="0.25">
      <c r="A215" t="s">
        <v>290</v>
      </c>
      <c r="B215" t="s">
        <v>1325</v>
      </c>
    </row>
    <row r="216" spans="1:2" x14ac:dyDescent="0.25">
      <c r="A216" t="s">
        <v>292</v>
      </c>
      <c r="B216" t="s">
        <v>1326</v>
      </c>
    </row>
    <row r="217" spans="1:2" x14ac:dyDescent="0.25">
      <c r="A217" t="s">
        <v>294</v>
      </c>
      <c r="B217" t="s">
        <v>1327</v>
      </c>
    </row>
    <row r="218" spans="1:2" x14ac:dyDescent="0.25">
      <c r="A218" t="s">
        <v>296</v>
      </c>
      <c r="B218" t="s">
        <v>1328</v>
      </c>
    </row>
    <row r="219" spans="1:2" x14ac:dyDescent="0.25">
      <c r="A219" t="s">
        <v>298</v>
      </c>
      <c r="B219" t="s">
        <v>1329</v>
      </c>
    </row>
    <row r="220" spans="1:2" x14ac:dyDescent="0.25">
      <c r="A220" t="s">
        <v>300</v>
      </c>
      <c r="B220" t="s">
        <v>1330</v>
      </c>
    </row>
    <row r="221" spans="1:2" x14ac:dyDescent="0.25">
      <c r="A221" t="s">
        <v>323</v>
      </c>
      <c r="B221" t="s">
        <v>1331</v>
      </c>
    </row>
    <row r="222" spans="1:2" x14ac:dyDescent="0.25">
      <c r="A222" t="s">
        <v>326</v>
      </c>
      <c r="B222" t="s">
        <v>1332</v>
      </c>
    </row>
    <row r="223" spans="1:2" x14ac:dyDescent="0.25">
      <c r="A223" t="s">
        <v>328</v>
      </c>
      <c r="B223" t="s">
        <v>1333</v>
      </c>
    </row>
    <row r="224" spans="1:2" x14ac:dyDescent="0.25">
      <c r="A224" t="s">
        <v>330</v>
      </c>
      <c r="B224" t="s">
        <v>1334</v>
      </c>
    </row>
    <row r="225" spans="1:2" x14ac:dyDescent="0.25">
      <c r="A225" t="s">
        <v>332</v>
      </c>
      <c r="B225" t="s">
        <v>1335</v>
      </c>
    </row>
    <row r="226" spans="1:2" x14ac:dyDescent="0.25">
      <c r="A226" t="s">
        <v>334</v>
      </c>
      <c r="B226" t="s">
        <v>1336</v>
      </c>
    </row>
    <row r="227" spans="1:2" x14ac:dyDescent="0.25">
      <c r="A227" t="s">
        <v>336</v>
      </c>
      <c r="B227" t="s">
        <v>1337</v>
      </c>
    </row>
    <row r="228" spans="1:2" x14ac:dyDescent="0.25">
      <c r="A228" t="s">
        <v>338</v>
      </c>
      <c r="B228" t="s">
        <v>1338</v>
      </c>
    </row>
    <row r="229" spans="1:2" x14ac:dyDescent="0.25">
      <c r="A229" t="s">
        <v>340</v>
      </c>
      <c r="B229" t="s">
        <v>1339</v>
      </c>
    </row>
    <row r="230" spans="1:2" x14ac:dyDescent="0.25">
      <c r="A230" t="s">
        <v>346</v>
      </c>
      <c r="B230" t="s">
        <v>1335</v>
      </c>
    </row>
    <row r="231" spans="1:2" x14ac:dyDescent="0.25">
      <c r="A231" t="s">
        <v>347</v>
      </c>
      <c r="B231" t="s">
        <v>1340</v>
      </c>
    </row>
    <row r="232" spans="1:2" x14ac:dyDescent="0.25">
      <c r="A232" t="s">
        <v>349</v>
      </c>
      <c r="B232" t="s">
        <v>1341</v>
      </c>
    </row>
    <row r="233" spans="1:2" x14ac:dyDescent="0.25">
      <c r="A233" t="s">
        <v>351</v>
      </c>
      <c r="B233" t="s">
        <v>1342</v>
      </c>
    </row>
    <row r="234" spans="1:2" x14ac:dyDescent="0.25">
      <c r="A234" t="s">
        <v>353</v>
      </c>
      <c r="B234" t="s">
        <v>1343</v>
      </c>
    </row>
    <row r="235" spans="1:2" x14ac:dyDescent="0.25">
      <c r="A235" t="s">
        <v>358</v>
      </c>
      <c r="B235" t="s">
        <v>1344</v>
      </c>
    </row>
    <row r="236" spans="1:2" x14ac:dyDescent="0.25">
      <c r="A236" t="s">
        <v>361</v>
      </c>
      <c r="B236" t="s">
        <v>1345</v>
      </c>
    </row>
    <row r="237" spans="1:2" x14ac:dyDescent="0.25">
      <c r="A237" t="s">
        <v>363</v>
      </c>
      <c r="B237" t="s">
        <v>1346</v>
      </c>
    </row>
    <row r="238" spans="1:2" x14ac:dyDescent="0.25">
      <c r="A238" t="s">
        <v>365</v>
      </c>
      <c r="B238" t="s">
        <v>1347</v>
      </c>
    </row>
    <row r="239" spans="1:2" x14ac:dyDescent="0.25">
      <c r="A239" t="s">
        <v>367</v>
      </c>
      <c r="B239" t="s">
        <v>1348</v>
      </c>
    </row>
    <row r="240" spans="1:2" x14ac:dyDescent="0.25">
      <c r="A240" t="s">
        <v>369</v>
      </c>
      <c r="B240" t="s">
        <v>1349</v>
      </c>
    </row>
    <row r="241" spans="1:2" x14ac:dyDescent="0.25">
      <c r="A241" t="s">
        <v>371</v>
      </c>
      <c r="B241" t="s">
        <v>1350</v>
      </c>
    </row>
    <row r="242" spans="1:2" x14ac:dyDescent="0.25">
      <c r="A242" t="s">
        <v>376</v>
      </c>
      <c r="B242" t="s">
        <v>1351</v>
      </c>
    </row>
    <row r="243" spans="1:2" x14ac:dyDescent="0.25">
      <c r="A243" t="s">
        <v>380</v>
      </c>
      <c r="B243" t="s">
        <v>1352</v>
      </c>
    </row>
    <row r="244" spans="1:2" x14ac:dyDescent="0.25">
      <c r="A244" t="s">
        <v>382</v>
      </c>
      <c r="B244" t="s">
        <v>1353</v>
      </c>
    </row>
    <row r="245" spans="1:2" x14ac:dyDescent="0.25">
      <c r="A245" t="s">
        <v>385</v>
      </c>
      <c r="B245" t="s">
        <v>1354</v>
      </c>
    </row>
    <row r="246" spans="1:2" x14ac:dyDescent="0.25">
      <c r="A246" t="s">
        <v>387</v>
      </c>
      <c r="B246" t="s">
        <v>1355</v>
      </c>
    </row>
    <row r="247" spans="1:2" x14ac:dyDescent="0.25">
      <c r="A247" t="s">
        <v>391</v>
      </c>
      <c r="B247" t="s">
        <v>1356</v>
      </c>
    </row>
    <row r="248" spans="1:2" x14ac:dyDescent="0.25">
      <c r="A248" t="s">
        <v>394</v>
      </c>
      <c r="B248" t="s">
        <v>1357</v>
      </c>
    </row>
    <row r="249" spans="1:2" x14ac:dyDescent="0.25">
      <c r="A249" t="s">
        <v>396</v>
      </c>
      <c r="B249" t="s">
        <v>1358</v>
      </c>
    </row>
    <row r="250" spans="1:2" x14ac:dyDescent="0.25">
      <c r="A250" t="s">
        <v>400</v>
      </c>
      <c r="B250" t="s">
        <v>1359</v>
      </c>
    </row>
    <row r="251" spans="1:2" x14ac:dyDescent="0.25">
      <c r="A251" t="s">
        <v>403</v>
      </c>
      <c r="B251" t="s">
        <v>1360</v>
      </c>
    </row>
    <row r="252" spans="1:2" x14ac:dyDescent="0.25">
      <c r="A252" t="s">
        <v>405</v>
      </c>
      <c r="B252" t="s">
        <v>1361</v>
      </c>
    </row>
    <row r="253" spans="1:2" x14ac:dyDescent="0.25">
      <c r="A253" t="s">
        <v>408</v>
      </c>
      <c r="B253" t="s">
        <v>1362</v>
      </c>
    </row>
    <row r="254" spans="1:2" x14ac:dyDescent="0.25">
      <c r="A254" t="s">
        <v>410</v>
      </c>
      <c r="B254" t="s">
        <v>1363</v>
      </c>
    </row>
    <row r="255" spans="1:2" x14ac:dyDescent="0.25">
      <c r="A255" t="s">
        <v>412</v>
      </c>
      <c r="B255" t="s">
        <v>1364</v>
      </c>
    </row>
    <row r="256" spans="1:2" x14ac:dyDescent="0.25">
      <c r="A256" t="s">
        <v>414</v>
      </c>
      <c r="B256" t="s">
        <v>1365</v>
      </c>
    </row>
    <row r="257" spans="1:2" x14ac:dyDescent="0.25">
      <c r="A257" t="s">
        <v>1366</v>
      </c>
      <c r="B257" t="s">
        <v>1367</v>
      </c>
    </row>
    <row r="258" spans="1:2" x14ac:dyDescent="0.25">
      <c r="A258" t="s">
        <v>1368</v>
      </c>
      <c r="B258" t="s">
        <v>1369</v>
      </c>
    </row>
    <row r="259" spans="1:2" x14ac:dyDescent="0.25">
      <c r="A259" t="s">
        <v>1370</v>
      </c>
      <c r="B259" t="s">
        <v>1371</v>
      </c>
    </row>
    <row r="260" spans="1:2" x14ac:dyDescent="0.25">
      <c r="A260" t="s">
        <v>1372</v>
      </c>
      <c r="B260" t="s">
        <v>1373</v>
      </c>
    </row>
    <row r="261" spans="1:2" x14ac:dyDescent="0.25">
      <c r="A261" t="s">
        <v>1374</v>
      </c>
      <c r="B261" t="s">
        <v>1375</v>
      </c>
    </row>
    <row r="262" spans="1:2" x14ac:dyDescent="0.25">
      <c r="A262" t="s">
        <v>1376</v>
      </c>
      <c r="B262" t="s">
        <v>1377</v>
      </c>
    </row>
    <row r="263" spans="1:2" x14ac:dyDescent="0.25">
      <c r="A263" t="s">
        <v>1378</v>
      </c>
      <c r="B263" t="s">
        <v>1379</v>
      </c>
    </row>
    <row r="264" spans="1:2" x14ac:dyDescent="0.25">
      <c r="A264" t="s">
        <v>1380</v>
      </c>
      <c r="B264" t="s">
        <v>1381</v>
      </c>
    </row>
    <row r="265" spans="1:2" x14ac:dyDescent="0.25">
      <c r="A265" t="s">
        <v>1382</v>
      </c>
      <c r="B265" t="s">
        <v>1383</v>
      </c>
    </row>
    <row r="266" spans="1:2" x14ac:dyDescent="0.25">
      <c r="A266" t="s">
        <v>1384</v>
      </c>
      <c r="B266" t="s">
        <v>1385</v>
      </c>
    </row>
    <row r="267" spans="1:2" x14ac:dyDescent="0.25">
      <c r="A267" t="s">
        <v>1386</v>
      </c>
      <c r="B267" t="s">
        <v>1387</v>
      </c>
    </row>
    <row r="268" spans="1:2" x14ac:dyDescent="0.25">
      <c r="A268" t="s">
        <v>1388</v>
      </c>
      <c r="B268" t="s">
        <v>1389</v>
      </c>
    </row>
    <row r="269" spans="1:2" x14ac:dyDescent="0.25">
      <c r="A269" t="s">
        <v>1390</v>
      </c>
      <c r="B269" t="s">
        <v>1391</v>
      </c>
    </row>
    <row r="270" spans="1:2" x14ac:dyDescent="0.25">
      <c r="A270" t="s">
        <v>1392</v>
      </c>
      <c r="B270" t="s">
        <v>1393</v>
      </c>
    </row>
    <row r="271" spans="1:2" x14ac:dyDescent="0.25">
      <c r="A271" t="s">
        <v>1394</v>
      </c>
      <c r="B271" t="s">
        <v>1395</v>
      </c>
    </row>
    <row r="272" spans="1:2" x14ac:dyDescent="0.25">
      <c r="A272" t="s">
        <v>1396</v>
      </c>
      <c r="B272" t="s">
        <v>1397</v>
      </c>
    </row>
    <row r="273" spans="1:2" x14ac:dyDescent="0.25">
      <c r="A273" t="s">
        <v>1398</v>
      </c>
      <c r="B273" t="s">
        <v>1399</v>
      </c>
    </row>
    <row r="274" spans="1:2" x14ac:dyDescent="0.25">
      <c r="A274" t="s">
        <v>1400</v>
      </c>
      <c r="B274" t="s">
        <v>1401</v>
      </c>
    </row>
    <row r="275" spans="1:2" x14ac:dyDescent="0.25">
      <c r="A275" t="s">
        <v>1402</v>
      </c>
      <c r="B275" t="s">
        <v>1403</v>
      </c>
    </row>
    <row r="276" spans="1:2" x14ac:dyDescent="0.25">
      <c r="A276" t="s">
        <v>1404</v>
      </c>
      <c r="B276" t="s">
        <v>1405</v>
      </c>
    </row>
    <row r="277" spans="1:2" x14ac:dyDescent="0.25">
      <c r="A277" t="s">
        <v>1406</v>
      </c>
      <c r="B277" t="s">
        <v>1407</v>
      </c>
    </row>
    <row r="278" spans="1:2" x14ac:dyDescent="0.25">
      <c r="A278" t="s">
        <v>1408</v>
      </c>
      <c r="B278" t="s">
        <v>1409</v>
      </c>
    </row>
    <row r="279" spans="1:2" x14ac:dyDescent="0.25">
      <c r="A279" t="s">
        <v>1410</v>
      </c>
      <c r="B279" t="s">
        <v>1411</v>
      </c>
    </row>
    <row r="280" spans="1:2" x14ac:dyDescent="0.25">
      <c r="A280" t="s">
        <v>1412</v>
      </c>
      <c r="B280" t="s">
        <v>1413</v>
      </c>
    </row>
    <row r="281" spans="1:2" x14ac:dyDescent="0.25">
      <c r="A281" t="s">
        <v>1414</v>
      </c>
      <c r="B281" t="s">
        <v>1415</v>
      </c>
    </row>
    <row r="282" spans="1:2" x14ac:dyDescent="0.25">
      <c r="A282" t="s">
        <v>1416</v>
      </c>
      <c r="B282" t="s">
        <v>1417</v>
      </c>
    </row>
    <row r="283" spans="1:2" x14ac:dyDescent="0.25">
      <c r="A283" t="s">
        <v>1418</v>
      </c>
      <c r="B283" t="s">
        <v>1419</v>
      </c>
    </row>
    <row r="284" spans="1:2" x14ac:dyDescent="0.25">
      <c r="A284" t="s">
        <v>1420</v>
      </c>
      <c r="B284" t="s">
        <v>1421</v>
      </c>
    </row>
    <row r="285" spans="1:2" x14ac:dyDescent="0.25">
      <c r="A285" t="s">
        <v>1422</v>
      </c>
      <c r="B285" t="s">
        <v>1423</v>
      </c>
    </row>
    <row r="286" spans="1:2" x14ac:dyDescent="0.25">
      <c r="A286" t="s">
        <v>1424</v>
      </c>
      <c r="B286" t="s">
        <v>1425</v>
      </c>
    </row>
    <row r="287" spans="1:2" x14ac:dyDescent="0.25">
      <c r="A287" t="s">
        <v>1426</v>
      </c>
      <c r="B287" t="s">
        <v>1427</v>
      </c>
    </row>
    <row r="288" spans="1:2" x14ac:dyDescent="0.25">
      <c r="A288" t="s">
        <v>1428</v>
      </c>
      <c r="B288" t="s">
        <v>1429</v>
      </c>
    </row>
    <row r="289" spans="1:2" x14ac:dyDescent="0.25">
      <c r="A289" t="s">
        <v>1430</v>
      </c>
      <c r="B289" t="s">
        <v>1431</v>
      </c>
    </row>
    <row r="290" spans="1:2" x14ac:dyDescent="0.25">
      <c r="A290" t="s">
        <v>1432</v>
      </c>
      <c r="B290" t="s">
        <v>1433</v>
      </c>
    </row>
    <row r="291" spans="1:2" x14ac:dyDescent="0.25">
      <c r="A291" t="s">
        <v>1434</v>
      </c>
      <c r="B291" t="s">
        <v>1435</v>
      </c>
    </row>
    <row r="292" spans="1:2" x14ac:dyDescent="0.25">
      <c r="A292" t="s">
        <v>1436</v>
      </c>
      <c r="B292" t="s">
        <v>1437</v>
      </c>
    </row>
    <row r="293" spans="1:2" x14ac:dyDescent="0.25">
      <c r="A293" t="s">
        <v>1438</v>
      </c>
      <c r="B293" t="s">
        <v>1439</v>
      </c>
    </row>
    <row r="294" spans="1:2" x14ac:dyDescent="0.25">
      <c r="A294" t="s">
        <v>1440</v>
      </c>
      <c r="B294" t="s">
        <v>1441</v>
      </c>
    </row>
    <row r="295" spans="1:2" x14ac:dyDescent="0.25">
      <c r="A295" t="s">
        <v>1442</v>
      </c>
      <c r="B295" t="s">
        <v>1443</v>
      </c>
    </row>
    <row r="296" spans="1:2" x14ac:dyDescent="0.25">
      <c r="A296" t="s">
        <v>1444</v>
      </c>
      <c r="B296" t="s">
        <v>1445</v>
      </c>
    </row>
    <row r="297" spans="1:2" x14ac:dyDescent="0.25">
      <c r="A297" t="s">
        <v>1446</v>
      </c>
      <c r="B297" t="s">
        <v>1447</v>
      </c>
    </row>
    <row r="298" spans="1:2" x14ac:dyDescent="0.25">
      <c r="A298" t="s">
        <v>1448</v>
      </c>
      <c r="B298" t="s">
        <v>1449</v>
      </c>
    </row>
    <row r="299" spans="1:2" x14ac:dyDescent="0.25">
      <c r="A299" t="s">
        <v>1450</v>
      </c>
      <c r="B299" t="s">
        <v>1451</v>
      </c>
    </row>
    <row r="300" spans="1:2" x14ac:dyDescent="0.25">
      <c r="A300" t="s">
        <v>1452</v>
      </c>
      <c r="B300" t="s">
        <v>1453</v>
      </c>
    </row>
    <row r="301" spans="1:2" x14ac:dyDescent="0.25">
      <c r="A301" t="s">
        <v>1454</v>
      </c>
      <c r="B301" t="s">
        <v>1455</v>
      </c>
    </row>
    <row r="302" spans="1:2" x14ac:dyDescent="0.25">
      <c r="A302" t="s">
        <v>1456</v>
      </c>
      <c r="B302" t="s">
        <v>1457</v>
      </c>
    </row>
    <row r="303" spans="1:2" x14ac:dyDescent="0.25">
      <c r="A303" t="s">
        <v>1458</v>
      </c>
      <c r="B303" t="s">
        <v>1459</v>
      </c>
    </row>
    <row r="304" spans="1:2" x14ac:dyDescent="0.25">
      <c r="A304" t="s">
        <v>1460</v>
      </c>
      <c r="B304" t="s">
        <v>1461</v>
      </c>
    </row>
    <row r="305" spans="1:2" x14ac:dyDescent="0.25">
      <c r="A305" t="s">
        <v>1462</v>
      </c>
      <c r="B305" t="s">
        <v>1463</v>
      </c>
    </row>
    <row r="306" spans="1:2" x14ac:dyDescent="0.25">
      <c r="A306" t="s">
        <v>1464</v>
      </c>
      <c r="B306" t="s">
        <v>1465</v>
      </c>
    </row>
    <row r="307" spans="1:2" x14ac:dyDescent="0.25">
      <c r="A307" t="s">
        <v>1466</v>
      </c>
      <c r="B307" t="s">
        <v>1467</v>
      </c>
    </row>
    <row r="308" spans="1:2" x14ac:dyDescent="0.25">
      <c r="A308" t="s">
        <v>1468</v>
      </c>
      <c r="B308" t="s">
        <v>1469</v>
      </c>
    </row>
    <row r="309" spans="1:2" x14ac:dyDescent="0.25">
      <c r="A309" t="s">
        <v>1470</v>
      </c>
      <c r="B309" t="s">
        <v>1471</v>
      </c>
    </row>
    <row r="310" spans="1:2" x14ac:dyDescent="0.25">
      <c r="A310" t="s">
        <v>1472</v>
      </c>
      <c r="B310" t="s">
        <v>1473</v>
      </c>
    </row>
    <row r="311" spans="1:2" x14ac:dyDescent="0.25">
      <c r="A311" t="s">
        <v>1474</v>
      </c>
      <c r="B311" t="s">
        <v>1475</v>
      </c>
    </row>
    <row r="312" spans="1:2" x14ac:dyDescent="0.25">
      <c r="A312" t="s">
        <v>1476</v>
      </c>
      <c r="B312" t="s">
        <v>1477</v>
      </c>
    </row>
    <row r="313" spans="1:2" x14ac:dyDescent="0.25">
      <c r="A313" t="s">
        <v>1478</v>
      </c>
      <c r="B313" t="s">
        <v>1479</v>
      </c>
    </row>
    <row r="314" spans="1:2" x14ac:dyDescent="0.25">
      <c r="A314" t="s">
        <v>1480</v>
      </c>
      <c r="B314" t="s">
        <v>1481</v>
      </c>
    </row>
    <row r="315" spans="1:2" x14ac:dyDescent="0.25">
      <c r="A315" t="s">
        <v>1482</v>
      </c>
      <c r="B315" t="s">
        <v>1483</v>
      </c>
    </row>
    <row r="316" spans="1:2" x14ac:dyDescent="0.25">
      <c r="A316" t="s">
        <v>1484</v>
      </c>
      <c r="B316" t="s">
        <v>1485</v>
      </c>
    </row>
    <row r="317" spans="1:2" x14ac:dyDescent="0.25">
      <c r="A317" t="s">
        <v>1486</v>
      </c>
      <c r="B317" t="s">
        <v>1487</v>
      </c>
    </row>
    <row r="318" spans="1:2" x14ac:dyDescent="0.25">
      <c r="A318" t="s">
        <v>1488</v>
      </c>
      <c r="B318" t="s">
        <v>1489</v>
      </c>
    </row>
    <row r="319" spans="1:2" x14ac:dyDescent="0.25">
      <c r="A319" t="s">
        <v>1490</v>
      </c>
      <c r="B319" t="s">
        <v>1491</v>
      </c>
    </row>
    <row r="320" spans="1:2" x14ac:dyDescent="0.25">
      <c r="A320" t="s">
        <v>1492</v>
      </c>
      <c r="B320" t="s">
        <v>1493</v>
      </c>
    </row>
    <row r="321" spans="1:2" x14ac:dyDescent="0.25">
      <c r="A321" t="s">
        <v>1494</v>
      </c>
      <c r="B321" t="s">
        <v>1495</v>
      </c>
    </row>
    <row r="322" spans="1:2" x14ac:dyDescent="0.25">
      <c r="A322" t="s">
        <v>1496</v>
      </c>
      <c r="B322" t="s">
        <v>1497</v>
      </c>
    </row>
    <row r="323" spans="1:2" x14ac:dyDescent="0.25">
      <c r="A323" t="s">
        <v>1498</v>
      </c>
      <c r="B323" t="s">
        <v>1499</v>
      </c>
    </row>
    <row r="324" spans="1:2" x14ac:dyDescent="0.25">
      <c r="A324" t="s">
        <v>1500</v>
      </c>
      <c r="B324" t="s">
        <v>1501</v>
      </c>
    </row>
    <row r="325" spans="1:2" x14ac:dyDescent="0.25">
      <c r="A325" t="s">
        <v>1502</v>
      </c>
      <c r="B325" t="s">
        <v>1503</v>
      </c>
    </row>
    <row r="326" spans="1:2" x14ac:dyDescent="0.25">
      <c r="A326" t="s">
        <v>1504</v>
      </c>
      <c r="B326" t="s">
        <v>1505</v>
      </c>
    </row>
    <row r="327" spans="1:2" x14ac:dyDescent="0.25">
      <c r="A327" t="s">
        <v>1506</v>
      </c>
      <c r="B327" t="s">
        <v>1507</v>
      </c>
    </row>
    <row r="328" spans="1:2" x14ac:dyDescent="0.25">
      <c r="A328" t="s">
        <v>1508</v>
      </c>
      <c r="B328" t="s">
        <v>1509</v>
      </c>
    </row>
    <row r="329" spans="1:2" x14ac:dyDescent="0.25">
      <c r="A329" t="s">
        <v>1510</v>
      </c>
      <c r="B329" t="s">
        <v>1511</v>
      </c>
    </row>
    <row r="330" spans="1:2" x14ac:dyDescent="0.25">
      <c r="A330" t="s">
        <v>1512</v>
      </c>
      <c r="B330" t="s">
        <v>1513</v>
      </c>
    </row>
    <row r="331" spans="1:2" x14ac:dyDescent="0.25">
      <c r="A331" t="s">
        <v>1514</v>
      </c>
      <c r="B331" t="s">
        <v>1515</v>
      </c>
    </row>
    <row r="332" spans="1:2" x14ac:dyDescent="0.25">
      <c r="A332" t="s">
        <v>1516</v>
      </c>
      <c r="B332" t="s">
        <v>1517</v>
      </c>
    </row>
    <row r="333" spans="1:2" x14ac:dyDescent="0.25">
      <c r="A333" t="s">
        <v>1518</v>
      </c>
      <c r="B333" t="s">
        <v>1519</v>
      </c>
    </row>
    <row r="334" spans="1:2" x14ac:dyDescent="0.25">
      <c r="A334" t="s">
        <v>1520</v>
      </c>
      <c r="B334" t="s">
        <v>1521</v>
      </c>
    </row>
    <row r="335" spans="1:2" x14ac:dyDescent="0.25">
      <c r="A335" t="s">
        <v>1522</v>
      </c>
      <c r="B335" t="s">
        <v>1523</v>
      </c>
    </row>
    <row r="336" spans="1:2" x14ac:dyDescent="0.25">
      <c r="A336" t="s">
        <v>1524</v>
      </c>
      <c r="B336" t="s">
        <v>1525</v>
      </c>
    </row>
    <row r="337" spans="1:2" x14ac:dyDescent="0.25">
      <c r="A337" t="s">
        <v>1526</v>
      </c>
      <c r="B337" t="s">
        <v>1527</v>
      </c>
    </row>
    <row r="338" spans="1:2" x14ac:dyDescent="0.25">
      <c r="A338" t="s">
        <v>1528</v>
      </c>
      <c r="B338" t="s">
        <v>1529</v>
      </c>
    </row>
    <row r="339" spans="1:2" x14ac:dyDescent="0.25">
      <c r="A339" t="s">
        <v>1530</v>
      </c>
      <c r="B339" t="s">
        <v>1531</v>
      </c>
    </row>
    <row r="340" spans="1:2" x14ac:dyDescent="0.25">
      <c r="A340" t="s">
        <v>1532</v>
      </c>
      <c r="B340" t="s">
        <v>1533</v>
      </c>
    </row>
    <row r="341" spans="1:2" x14ac:dyDescent="0.25">
      <c r="A341" t="s">
        <v>1534</v>
      </c>
      <c r="B341" t="s">
        <v>1535</v>
      </c>
    </row>
    <row r="342" spans="1:2" x14ac:dyDescent="0.25">
      <c r="A342" t="s">
        <v>1536</v>
      </c>
      <c r="B342" t="s">
        <v>1537</v>
      </c>
    </row>
    <row r="343" spans="1:2" x14ac:dyDescent="0.25">
      <c r="A343" t="s">
        <v>1538</v>
      </c>
      <c r="B343" t="s">
        <v>1539</v>
      </c>
    </row>
    <row r="344" spans="1:2" x14ac:dyDescent="0.25">
      <c r="A344" t="s">
        <v>1540</v>
      </c>
      <c r="B344" t="s">
        <v>1541</v>
      </c>
    </row>
    <row r="345" spans="1:2" x14ac:dyDescent="0.25">
      <c r="A345" t="s">
        <v>1542</v>
      </c>
      <c r="B345" t="s">
        <v>1543</v>
      </c>
    </row>
    <row r="346" spans="1:2" x14ac:dyDescent="0.25">
      <c r="A346" t="s">
        <v>1544</v>
      </c>
      <c r="B346" t="s">
        <v>1545</v>
      </c>
    </row>
    <row r="347" spans="1:2" x14ac:dyDescent="0.25">
      <c r="A347" t="s">
        <v>1546</v>
      </c>
      <c r="B347" t="s">
        <v>1547</v>
      </c>
    </row>
    <row r="348" spans="1:2" x14ac:dyDescent="0.25">
      <c r="A348" t="s">
        <v>1548</v>
      </c>
      <c r="B348" t="s">
        <v>1549</v>
      </c>
    </row>
    <row r="349" spans="1:2" x14ac:dyDescent="0.25">
      <c r="A349" t="s">
        <v>1550</v>
      </c>
      <c r="B349" t="s">
        <v>1551</v>
      </c>
    </row>
    <row r="350" spans="1:2" x14ac:dyDescent="0.25">
      <c r="A350" t="s">
        <v>1552</v>
      </c>
      <c r="B350" t="s">
        <v>1553</v>
      </c>
    </row>
    <row r="351" spans="1:2" x14ac:dyDescent="0.25">
      <c r="A351" t="s">
        <v>1554</v>
      </c>
      <c r="B351" t="s">
        <v>1555</v>
      </c>
    </row>
    <row r="352" spans="1:2" x14ac:dyDescent="0.25">
      <c r="A352" t="s">
        <v>1556</v>
      </c>
      <c r="B352" t="s">
        <v>1557</v>
      </c>
    </row>
    <row r="353" spans="1:2" x14ac:dyDescent="0.25">
      <c r="A353" t="s">
        <v>1558</v>
      </c>
      <c r="B353" t="s">
        <v>1559</v>
      </c>
    </row>
    <row r="354" spans="1:2" x14ac:dyDescent="0.25">
      <c r="A354" t="s">
        <v>1560</v>
      </c>
      <c r="B354" t="s">
        <v>1561</v>
      </c>
    </row>
    <row r="355" spans="1:2" x14ac:dyDescent="0.25">
      <c r="A355" t="s">
        <v>1562</v>
      </c>
      <c r="B355" t="s">
        <v>1563</v>
      </c>
    </row>
    <row r="356" spans="1:2" x14ac:dyDescent="0.25">
      <c r="A356" t="s">
        <v>1564</v>
      </c>
      <c r="B356" t="s">
        <v>1565</v>
      </c>
    </row>
    <row r="357" spans="1:2" x14ac:dyDescent="0.25">
      <c r="A357" t="s">
        <v>1566</v>
      </c>
      <c r="B357" t="s">
        <v>1567</v>
      </c>
    </row>
    <row r="358" spans="1:2" x14ac:dyDescent="0.25">
      <c r="A358" t="s">
        <v>1568</v>
      </c>
      <c r="B358" t="s">
        <v>1569</v>
      </c>
    </row>
    <row r="359" spans="1:2" x14ac:dyDescent="0.25">
      <c r="A359" t="s">
        <v>1570</v>
      </c>
      <c r="B359" t="s">
        <v>1571</v>
      </c>
    </row>
    <row r="360" spans="1:2" x14ac:dyDescent="0.25">
      <c r="A360" t="s">
        <v>1572</v>
      </c>
      <c r="B360" t="s">
        <v>1573</v>
      </c>
    </row>
    <row r="361" spans="1:2" x14ac:dyDescent="0.25">
      <c r="A361" t="s">
        <v>1574</v>
      </c>
      <c r="B361" t="s">
        <v>1575</v>
      </c>
    </row>
    <row r="362" spans="1:2" x14ac:dyDescent="0.25">
      <c r="A362" t="s">
        <v>1576</v>
      </c>
      <c r="B362" t="s">
        <v>1577</v>
      </c>
    </row>
    <row r="363" spans="1:2" x14ac:dyDescent="0.25">
      <c r="A363" t="s">
        <v>1578</v>
      </c>
      <c r="B363" t="s">
        <v>1579</v>
      </c>
    </row>
    <row r="364" spans="1:2" x14ac:dyDescent="0.25">
      <c r="A364" t="s">
        <v>1580</v>
      </c>
      <c r="B364" t="s">
        <v>1581</v>
      </c>
    </row>
    <row r="365" spans="1:2" x14ac:dyDescent="0.25">
      <c r="A365" t="s">
        <v>1582</v>
      </c>
      <c r="B365" t="s">
        <v>1583</v>
      </c>
    </row>
    <row r="366" spans="1:2" x14ac:dyDescent="0.25">
      <c r="A366" t="s">
        <v>1584</v>
      </c>
      <c r="B366" t="s">
        <v>1585</v>
      </c>
    </row>
    <row r="367" spans="1:2" x14ac:dyDescent="0.25">
      <c r="A367" t="s">
        <v>1586</v>
      </c>
      <c r="B367" t="s">
        <v>1587</v>
      </c>
    </row>
    <row r="368" spans="1:2" x14ac:dyDescent="0.25">
      <c r="A368" t="s">
        <v>1588</v>
      </c>
      <c r="B368" t="s">
        <v>1589</v>
      </c>
    </row>
    <row r="369" spans="1:2" x14ac:dyDescent="0.25">
      <c r="A369" t="s">
        <v>1590</v>
      </c>
      <c r="B369" t="s">
        <v>1591</v>
      </c>
    </row>
    <row r="370" spans="1:2" x14ac:dyDescent="0.25">
      <c r="A370" t="s">
        <v>1592</v>
      </c>
      <c r="B370" t="s">
        <v>1593</v>
      </c>
    </row>
    <row r="371" spans="1:2" x14ac:dyDescent="0.25">
      <c r="A371" t="s">
        <v>1594</v>
      </c>
      <c r="B371" t="s">
        <v>1595</v>
      </c>
    </row>
    <row r="372" spans="1:2" x14ac:dyDescent="0.25">
      <c r="A372" t="s">
        <v>1596</v>
      </c>
      <c r="B372" t="s">
        <v>1597</v>
      </c>
    </row>
    <row r="373" spans="1:2" x14ac:dyDescent="0.25">
      <c r="A373" t="s">
        <v>1598</v>
      </c>
      <c r="B373" t="s">
        <v>1599</v>
      </c>
    </row>
    <row r="374" spans="1:2" x14ac:dyDescent="0.25">
      <c r="A374" t="s">
        <v>1600</v>
      </c>
      <c r="B374" t="s">
        <v>1601</v>
      </c>
    </row>
    <row r="375" spans="1:2" x14ac:dyDescent="0.25">
      <c r="A375" t="s">
        <v>1602</v>
      </c>
      <c r="B375" t="s">
        <v>1603</v>
      </c>
    </row>
    <row r="376" spans="1:2" x14ac:dyDescent="0.25">
      <c r="A376" t="s">
        <v>1604</v>
      </c>
      <c r="B376" t="s">
        <v>1605</v>
      </c>
    </row>
    <row r="377" spans="1:2" x14ac:dyDescent="0.25">
      <c r="A377" t="s">
        <v>1606</v>
      </c>
      <c r="B377" t="s">
        <v>1607</v>
      </c>
    </row>
    <row r="378" spans="1:2" x14ac:dyDescent="0.25">
      <c r="A378" t="s">
        <v>1608</v>
      </c>
      <c r="B378" t="s">
        <v>1609</v>
      </c>
    </row>
    <row r="379" spans="1:2" x14ac:dyDescent="0.25">
      <c r="A379" t="s">
        <v>1610</v>
      </c>
      <c r="B379" t="s">
        <v>1611</v>
      </c>
    </row>
    <row r="380" spans="1:2" x14ac:dyDescent="0.25">
      <c r="A380" t="s">
        <v>1612</v>
      </c>
      <c r="B380" t="s">
        <v>1613</v>
      </c>
    </row>
    <row r="381" spans="1:2" x14ac:dyDescent="0.25">
      <c r="A381" t="s">
        <v>1614</v>
      </c>
      <c r="B381" t="s">
        <v>1615</v>
      </c>
    </row>
    <row r="382" spans="1:2" x14ac:dyDescent="0.25">
      <c r="A382" t="s">
        <v>1616</v>
      </c>
      <c r="B382" t="s">
        <v>1617</v>
      </c>
    </row>
    <row r="383" spans="1:2" x14ac:dyDescent="0.25">
      <c r="A383" t="s">
        <v>1618</v>
      </c>
      <c r="B383" t="s">
        <v>1619</v>
      </c>
    </row>
    <row r="384" spans="1:2" x14ac:dyDescent="0.25">
      <c r="A384" t="s">
        <v>1620</v>
      </c>
      <c r="B384" t="s">
        <v>1621</v>
      </c>
    </row>
    <row r="385" spans="1:2" x14ac:dyDescent="0.25">
      <c r="A385" t="s">
        <v>1622</v>
      </c>
      <c r="B385" t="s">
        <v>1623</v>
      </c>
    </row>
    <row r="386" spans="1:2" x14ac:dyDescent="0.25">
      <c r="A386" t="s">
        <v>1624</v>
      </c>
      <c r="B386" t="s">
        <v>1625</v>
      </c>
    </row>
    <row r="387" spans="1:2" x14ac:dyDescent="0.25">
      <c r="A387" t="s">
        <v>1626</v>
      </c>
      <c r="B387" t="s">
        <v>1627</v>
      </c>
    </row>
    <row r="388" spans="1:2" x14ac:dyDescent="0.25">
      <c r="A388" t="s">
        <v>1628</v>
      </c>
      <c r="B388" t="s">
        <v>1629</v>
      </c>
    </row>
    <row r="389" spans="1:2" x14ac:dyDescent="0.25">
      <c r="A389" t="s">
        <v>1630</v>
      </c>
      <c r="B389" t="s">
        <v>1631</v>
      </c>
    </row>
    <row r="390" spans="1:2" x14ac:dyDescent="0.25">
      <c r="A390" t="s">
        <v>1632</v>
      </c>
      <c r="B390" t="s">
        <v>1633</v>
      </c>
    </row>
    <row r="391" spans="1:2" x14ac:dyDescent="0.25">
      <c r="A391" t="s">
        <v>1634</v>
      </c>
      <c r="B391" t="s">
        <v>1635</v>
      </c>
    </row>
    <row r="392" spans="1:2" x14ac:dyDescent="0.25">
      <c r="A392" t="s">
        <v>1636</v>
      </c>
      <c r="B392" t="s">
        <v>1637</v>
      </c>
    </row>
    <row r="393" spans="1:2" x14ac:dyDescent="0.25">
      <c r="A393" t="s">
        <v>1638</v>
      </c>
      <c r="B393" t="s">
        <v>1639</v>
      </c>
    </row>
    <row r="394" spans="1:2" x14ac:dyDescent="0.25">
      <c r="A394" t="s">
        <v>1640</v>
      </c>
      <c r="B394" t="s">
        <v>1641</v>
      </c>
    </row>
    <row r="395" spans="1:2" x14ac:dyDescent="0.25">
      <c r="A395" t="s">
        <v>1642</v>
      </c>
      <c r="B395" t="s">
        <v>1643</v>
      </c>
    </row>
    <row r="396" spans="1:2" x14ac:dyDescent="0.25">
      <c r="A396" t="s">
        <v>1644</v>
      </c>
      <c r="B396" t="s">
        <v>1645</v>
      </c>
    </row>
    <row r="397" spans="1:2" x14ac:dyDescent="0.25">
      <c r="A397" t="s">
        <v>1646</v>
      </c>
      <c r="B397" t="s">
        <v>1647</v>
      </c>
    </row>
    <row r="398" spans="1:2" x14ac:dyDescent="0.25">
      <c r="A398" t="s">
        <v>1648</v>
      </c>
      <c r="B398" t="s">
        <v>1649</v>
      </c>
    </row>
    <row r="399" spans="1:2" x14ac:dyDescent="0.25">
      <c r="A399" t="s">
        <v>1650</v>
      </c>
      <c r="B399" t="s">
        <v>1651</v>
      </c>
    </row>
    <row r="400" spans="1:2" x14ac:dyDescent="0.25">
      <c r="A400" t="s">
        <v>1652</v>
      </c>
      <c r="B400" t="s">
        <v>1653</v>
      </c>
    </row>
    <row r="401" spans="1:2" x14ac:dyDescent="0.25">
      <c r="A401" t="s">
        <v>1654</v>
      </c>
      <c r="B401" t="s">
        <v>1655</v>
      </c>
    </row>
    <row r="402" spans="1:2" x14ac:dyDescent="0.25">
      <c r="A402" t="s">
        <v>1656</v>
      </c>
      <c r="B402" t="s">
        <v>1657</v>
      </c>
    </row>
    <row r="403" spans="1:2" x14ac:dyDescent="0.25">
      <c r="A403" t="s">
        <v>1658</v>
      </c>
      <c r="B403" t="s">
        <v>1659</v>
      </c>
    </row>
    <row r="404" spans="1:2" x14ac:dyDescent="0.25">
      <c r="A404" t="s">
        <v>1660</v>
      </c>
      <c r="B404" t="s">
        <v>1661</v>
      </c>
    </row>
    <row r="405" spans="1:2" x14ac:dyDescent="0.25">
      <c r="A405" t="s">
        <v>1662</v>
      </c>
      <c r="B405" t="s">
        <v>1663</v>
      </c>
    </row>
    <row r="406" spans="1:2" x14ac:dyDescent="0.25">
      <c r="A406" t="s">
        <v>1664</v>
      </c>
      <c r="B406" t="s">
        <v>1665</v>
      </c>
    </row>
    <row r="407" spans="1:2" x14ac:dyDescent="0.25">
      <c r="A407" t="s">
        <v>1666</v>
      </c>
      <c r="B407" t="s">
        <v>1667</v>
      </c>
    </row>
    <row r="408" spans="1:2" x14ac:dyDescent="0.25">
      <c r="A408" t="s">
        <v>1668</v>
      </c>
      <c r="B408" t="s">
        <v>1669</v>
      </c>
    </row>
    <row r="409" spans="1:2" x14ac:dyDescent="0.25">
      <c r="A409" t="s">
        <v>63</v>
      </c>
      <c r="B409" t="s">
        <v>1670</v>
      </c>
    </row>
    <row r="410" spans="1:2" x14ac:dyDescent="0.25">
      <c r="A410" t="s">
        <v>65</v>
      </c>
      <c r="B410" t="s">
        <v>1671</v>
      </c>
    </row>
    <row r="411" spans="1:2" x14ac:dyDescent="0.25">
      <c r="A411" t="s">
        <v>67</v>
      </c>
      <c r="B411" t="s">
        <v>1672</v>
      </c>
    </row>
    <row r="412" spans="1:2" x14ac:dyDescent="0.25">
      <c r="A412" t="s">
        <v>69</v>
      </c>
      <c r="B412" t="s">
        <v>1673</v>
      </c>
    </row>
    <row r="413" spans="1:2" x14ac:dyDescent="0.25">
      <c r="A413" t="s">
        <v>71</v>
      </c>
      <c r="B413" t="s">
        <v>1674</v>
      </c>
    </row>
    <row r="414" spans="1:2" x14ac:dyDescent="0.25">
      <c r="A414" t="s">
        <v>73</v>
      </c>
      <c r="B414" t="s">
        <v>1675</v>
      </c>
    </row>
    <row r="415" spans="1:2" x14ac:dyDescent="0.25">
      <c r="A415" t="s">
        <v>76</v>
      </c>
      <c r="B415" t="s">
        <v>1676</v>
      </c>
    </row>
    <row r="416" spans="1:2" x14ac:dyDescent="0.25">
      <c r="A416" t="s">
        <v>79</v>
      </c>
      <c r="B416" t="s">
        <v>1677</v>
      </c>
    </row>
    <row r="417" spans="1:2" x14ac:dyDescent="0.25">
      <c r="A417" t="s">
        <v>82</v>
      </c>
      <c r="B417" t="s">
        <v>1678</v>
      </c>
    </row>
    <row r="418" spans="1:2" x14ac:dyDescent="0.25">
      <c r="A418" t="s">
        <v>85</v>
      </c>
      <c r="B418" t="s">
        <v>1679</v>
      </c>
    </row>
    <row r="419" spans="1:2" x14ac:dyDescent="0.25">
      <c r="A419" t="s">
        <v>88</v>
      </c>
      <c r="B419" t="s">
        <v>1680</v>
      </c>
    </row>
    <row r="420" spans="1:2" x14ac:dyDescent="0.25">
      <c r="A420" t="s">
        <v>91</v>
      </c>
      <c r="B420" t="s">
        <v>1681</v>
      </c>
    </row>
    <row r="421" spans="1:2" x14ac:dyDescent="0.25">
      <c r="A421" t="s">
        <v>115</v>
      </c>
      <c r="B421" t="s">
        <v>1682</v>
      </c>
    </row>
    <row r="422" spans="1:2" x14ac:dyDescent="0.25">
      <c r="A422" t="s">
        <v>158</v>
      </c>
      <c r="B422" t="s">
        <v>1683</v>
      </c>
    </row>
    <row r="423" spans="1:2" x14ac:dyDescent="0.25">
      <c r="A423" t="s">
        <v>160</v>
      </c>
      <c r="B423" t="s">
        <v>1684</v>
      </c>
    </row>
    <row r="424" spans="1:2" x14ac:dyDescent="0.25">
      <c r="A424" t="s">
        <v>162</v>
      </c>
      <c r="B424" t="s">
        <v>1685</v>
      </c>
    </row>
    <row r="425" spans="1:2" x14ac:dyDescent="0.25">
      <c r="A425" t="s">
        <v>164</v>
      </c>
      <c r="B425" t="s">
        <v>1686</v>
      </c>
    </row>
    <row r="426" spans="1:2" x14ac:dyDescent="0.25">
      <c r="A426" t="s">
        <v>166</v>
      </c>
      <c r="B426" t="s">
        <v>1687</v>
      </c>
    </row>
    <row r="427" spans="1:2" x14ac:dyDescent="0.25">
      <c r="A427" t="s">
        <v>190</v>
      </c>
      <c r="B427" t="s">
        <v>1688</v>
      </c>
    </row>
    <row r="428" spans="1:2" x14ac:dyDescent="0.25">
      <c r="A428" t="s">
        <v>192</v>
      </c>
      <c r="B428" t="s">
        <v>1689</v>
      </c>
    </row>
    <row r="429" spans="1:2" x14ac:dyDescent="0.25">
      <c r="A429" t="s">
        <v>214</v>
      </c>
      <c r="B429" t="s">
        <v>1690</v>
      </c>
    </row>
    <row r="430" spans="1:2" x14ac:dyDescent="0.25">
      <c r="A430" t="s">
        <v>216</v>
      </c>
      <c r="B430" t="s">
        <v>1691</v>
      </c>
    </row>
    <row r="431" spans="1:2" x14ac:dyDescent="0.25">
      <c r="A431" t="s">
        <v>274</v>
      </c>
      <c r="B431" t="s">
        <v>1692</v>
      </c>
    </row>
    <row r="432" spans="1:2" x14ac:dyDescent="0.25">
      <c r="A432" t="s">
        <v>276</v>
      </c>
      <c r="B432" t="s">
        <v>1693</v>
      </c>
    </row>
    <row r="433" spans="1:2" x14ac:dyDescent="0.25">
      <c r="A433" t="s">
        <v>278</v>
      </c>
      <c r="B433" t="s">
        <v>1694</v>
      </c>
    </row>
    <row r="434" spans="1:2" x14ac:dyDescent="0.25">
      <c r="A434" t="s">
        <v>302</v>
      </c>
      <c r="B434" t="s">
        <v>1695</v>
      </c>
    </row>
    <row r="435" spans="1:2" x14ac:dyDescent="0.25">
      <c r="A435" t="s">
        <v>304</v>
      </c>
      <c r="B435" t="s">
        <v>1696</v>
      </c>
    </row>
    <row r="436" spans="1:2" x14ac:dyDescent="0.25">
      <c r="A436" t="s">
        <v>306</v>
      </c>
      <c r="B436" t="s">
        <v>1697</v>
      </c>
    </row>
    <row r="437" spans="1:2" x14ac:dyDescent="0.25">
      <c r="A437" t="s">
        <v>308</v>
      </c>
      <c r="B437" t="s">
        <v>1698</v>
      </c>
    </row>
    <row r="438" spans="1:2" x14ac:dyDescent="0.25">
      <c r="A438" t="s">
        <v>310</v>
      </c>
      <c r="B438" t="s">
        <v>1699</v>
      </c>
    </row>
    <row r="439" spans="1:2" x14ac:dyDescent="0.25">
      <c r="A439" t="s">
        <v>312</v>
      </c>
      <c r="B439" t="s">
        <v>1700</v>
      </c>
    </row>
    <row r="440" spans="1:2" x14ac:dyDescent="0.25">
      <c r="A440" t="s">
        <v>314</v>
      </c>
      <c r="B440" t="s">
        <v>1701</v>
      </c>
    </row>
    <row r="441" spans="1:2" x14ac:dyDescent="0.25">
      <c r="A441" t="s">
        <v>316</v>
      </c>
      <c r="B441" t="s">
        <v>1702</v>
      </c>
    </row>
    <row r="442" spans="1:2" x14ac:dyDescent="0.25">
      <c r="A442" t="s">
        <v>318</v>
      </c>
      <c r="B442" t="s">
        <v>1703</v>
      </c>
    </row>
    <row r="443" spans="1:2" x14ac:dyDescent="0.25">
      <c r="A443" t="s">
        <v>342</v>
      </c>
      <c r="B443" t="s">
        <v>1704</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7"/>
  <sheetViews>
    <sheetView workbookViewId="0">
      <pane ySplit="1" topLeftCell="A2" activePane="bottomLeft" state="frozen"/>
      <selection activeCell="H18" sqref="H18"/>
      <selection pane="bottomLeft" activeCell="H18" sqref="H18"/>
    </sheetView>
  </sheetViews>
  <sheetFormatPr defaultRowHeight="15" x14ac:dyDescent="0.25"/>
  <cols>
    <col min="1" max="1" width="20" customWidth="1"/>
    <col min="2" max="2" width="60" customWidth="1"/>
    <col min="3" max="9" width="25" customWidth="1"/>
    <col min="10" max="13" width="13" hidden="1" customWidth="1"/>
  </cols>
  <sheetData>
    <row r="1" spans="1:13" ht="24.95" customHeight="1" x14ac:dyDescent="0.25">
      <c r="A1" s="2" t="s">
        <v>19</v>
      </c>
      <c r="B1" s="2" t="s">
        <v>16</v>
      </c>
      <c r="C1" s="2" t="s">
        <v>1705</v>
      </c>
      <c r="D1" s="2" t="s">
        <v>1706</v>
      </c>
      <c r="E1" s="2" t="s">
        <v>1707</v>
      </c>
      <c r="F1" s="2" t="s">
        <v>1708</v>
      </c>
      <c r="G1" s="2" t="s">
        <v>1709</v>
      </c>
      <c r="H1" s="2" t="s">
        <v>1710</v>
      </c>
      <c r="I1" s="2" t="s">
        <v>1711</v>
      </c>
      <c r="J1" t="s">
        <v>1712</v>
      </c>
      <c r="K1" t="s">
        <v>1713</v>
      </c>
      <c r="L1" t="s">
        <v>18</v>
      </c>
      <c r="M1" t="s">
        <v>1714</v>
      </c>
    </row>
    <row r="2" spans="1:13" x14ac:dyDescent="0.25">
      <c r="A2" s="4" t="s">
        <v>36</v>
      </c>
      <c r="B2" s="4" t="str">
        <f>IFERROR(INDEX(DQAF_Input!$A:$A,MATCH(A2,DQAF_Input!$D:$D,0)),"")</f>
        <v>Statistical Registers are adequate</v>
      </c>
      <c r="C2" s="6">
        <f>IFERROR((SUMIF(DQAF_Input!$D:$D,A2,DQAF_Input!$X:$X)/5)*100,"")</f>
        <v>0</v>
      </c>
      <c r="D2" s="6">
        <f>IFERROR((SUMIF(DQAF_Input!$D:$D,A2,DQAF_Input!$AD:$AD)/5)*100,"")</f>
        <v>0</v>
      </c>
      <c r="E2" s="7">
        <f>IFERROR(COUNTIFS(DQAF_Input!$D:$D,A2,DQAF_Input!$S:$S,"&lt;&gt;0"),0)</f>
        <v>0</v>
      </c>
      <c r="F2" s="7">
        <f>IFERROR(COUNTIF(DQAF_Input!$D:$D,A2),0)</f>
        <v>21</v>
      </c>
      <c r="G2" s="8">
        <f t="shared" ref="G2:G17" si="0">IF(F2=0,"",E2/F2)</f>
        <v>0</v>
      </c>
      <c r="H2" s="7">
        <f>IFERROR(COUNTIFS(DQAF_Input!$D:$D,A2,DQAF_Input!$S:$S,5),0)</f>
        <v>0</v>
      </c>
      <c r="I2" s="8">
        <f t="shared" ref="I2:I17" si="1">IF(F2=0,"",H2/F2)</f>
        <v>0</v>
      </c>
      <c r="J2">
        <f>IFERROR(INDEX(__weights_indicator!$B:$B,MATCH(A2,__weights_indicator!$A:$A,0)),"")</f>
        <v>0.24705882400000001</v>
      </c>
      <c r="K2" s="9">
        <f t="shared" ref="K2:K17" si="2">IF(OR(J2="",C2=""),"",J2*C2)</f>
        <v>0</v>
      </c>
      <c r="L2" t="str">
        <f t="shared" ref="L2:L17" si="3">IFERROR(LEFT(A2,FIND("_",A2,FIND("_",A2)+1)-1),A2)</f>
        <v>4_1</v>
      </c>
      <c r="M2" s="9">
        <f t="shared" ref="M2:M17" si="4">IF(OR(J2="",D2=""),"",J2*D2)</f>
        <v>0</v>
      </c>
    </row>
    <row r="3" spans="1:13" x14ac:dyDescent="0.25">
      <c r="A3" s="4" t="s">
        <v>95</v>
      </c>
      <c r="B3" s="4" t="str">
        <f>IFERROR(INDEX(DQAF_Input!$A:$A,MATCH(A3,DQAF_Input!$D:$D,0)),"")</f>
        <v>Source data are obtained from comprehensive data collection programs that take into account country-specific conditions.</v>
      </c>
      <c r="C3" s="6">
        <f>IFERROR((SUMIF(DQAF_Input!$D:$D,A3,DQAF_Input!$X:$X)/5)*100,"")</f>
        <v>0</v>
      </c>
      <c r="D3" s="6">
        <f>IFERROR((SUMIF(DQAF_Input!$D:$D,A3,DQAF_Input!$AD:$AD)/5)*100,"")</f>
        <v>0</v>
      </c>
      <c r="E3" s="7">
        <f>IFERROR(COUNTIFS(DQAF_Input!$D:$D,A3,DQAF_Input!$S:$S,"&lt;&gt;0"),0)</f>
        <v>0</v>
      </c>
      <c r="F3" s="7">
        <f>IFERROR(COUNTIF(DQAF_Input!$D:$D,A3),0)</f>
        <v>10</v>
      </c>
      <c r="G3" s="8">
        <f t="shared" si="0"/>
        <v>0</v>
      </c>
      <c r="H3" s="7">
        <f>IFERROR(COUNTIFS(DQAF_Input!$D:$D,A3,DQAF_Input!$S:$S,5),0)</f>
        <v>0</v>
      </c>
      <c r="I3" s="8">
        <f t="shared" si="1"/>
        <v>0</v>
      </c>
      <c r="J3">
        <f>IFERROR(INDEX(__weights_indicator!$B:$B,MATCH(A3,__weights_indicator!$A:$A,0)),"")</f>
        <v>0.117647059</v>
      </c>
      <c r="K3" s="9">
        <f t="shared" si="2"/>
        <v>0</v>
      </c>
      <c r="L3" t="str">
        <f t="shared" si="3"/>
        <v>4_1</v>
      </c>
      <c r="M3" s="9">
        <f t="shared" si="4"/>
        <v>0</v>
      </c>
    </row>
    <row r="4" spans="1:13" x14ac:dyDescent="0.25">
      <c r="A4" s="4" t="s">
        <v>118</v>
      </c>
      <c r="B4" s="4" t="str">
        <f>IFERROR(INDEX(DQAF_Input!$A:$A,MATCH(A4,DQAF_Input!$D:$D,0)),"")</f>
        <v>Household surveys and administrative data are available on a regular basis and the definitions, scope, sectorization, classifications, valuation, and time of recording required reasonably approximate the requirements of the balance of payments / IIP.</v>
      </c>
      <c r="C4" s="6">
        <f>IFERROR((SUMIF(DQAF_Input!$D:$D,A4,DQAF_Input!$X:$X)/5)*100,"")</f>
        <v>0</v>
      </c>
      <c r="D4" s="6">
        <f>IFERROR((SUMIF(DQAF_Input!$D:$D,A4,DQAF_Input!$AD:$AD)/5)*100,"")</f>
        <v>0</v>
      </c>
      <c r="E4" s="7">
        <f>IFERROR(COUNTIFS(DQAF_Input!$D:$D,A4,DQAF_Input!$S:$S,"&lt;&gt;0"),0)</f>
        <v>0</v>
      </c>
      <c r="F4" s="7">
        <f>IFERROR(COUNTIF(DQAF_Input!$D:$D,A4),0)</f>
        <v>7</v>
      </c>
      <c r="G4" s="8">
        <f t="shared" si="0"/>
        <v>0</v>
      </c>
      <c r="H4" s="7">
        <f>IFERROR(COUNTIFS(DQAF_Input!$D:$D,A4,DQAF_Input!$S:$S,5),0)</f>
        <v>0</v>
      </c>
      <c r="I4" s="8">
        <f t="shared" si="1"/>
        <v>0</v>
      </c>
      <c r="J4">
        <f>IFERROR(INDEX(__weights_indicator!$B:$B,MATCH(A4,__weights_indicator!$A:$A,0)),"")</f>
        <v>8.2352940999999999E-2</v>
      </c>
      <c r="K4" s="9">
        <f t="shared" si="2"/>
        <v>0</v>
      </c>
      <c r="L4" t="str">
        <f t="shared" si="3"/>
        <v>4_1</v>
      </c>
      <c r="M4" s="9">
        <f t="shared" si="4"/>
        <v>0</v>
      </c>
    </row>
    <row r="5" spans="1:13" x14ac:dyDescent="0.25">
      <c r="A5" s="4" t="s">
        <v>139</v>
      </c>
      <c r="B5" s="4" t="str">
        <f>IFERROR(INDEX(DQAF_Input!$A:$A,MATCH(A5,DQAF_Input!$D:$D,0)),"")</f>
        <v>Government finance surveys and administrative data are available on a regular basis and the definitions, scope, sectorization, classifications, valuation, and time of recording required reasonably approximate the requirements of the balance of payments / IIP.</v>
      </c>
      <c r="C5" s="6">
        <f>IFERROR((SUMIF(DQAF_Input!$D:$D,A5,DQAF_Input!$X:$X)/5)*100,"")</f>
        <v>0</v>
      </c>
      <c r="D5" s="6">
        <f>IFERROR((SUMIF(DQAF_Input!$D:$D,A5,DQAF_Input!$AD:$AD)/5)*100,"")</f>
        <v>0</v>
      </c>
      <c r="E5" s="7">
        <f>IFERROR(COUNTIFS(DQAF_Input!$D:$D,A5,DQAF_Input!$S:$S,"&lt;&gt;0"),0)</f>
        <v>0</v>
      </c>
      <c r="F5" s="7">
        <f>IFERROR(COUNTIF(DQAF_Input!$D:$D,A5),0)</f>
        <v>14</v>
      </c>
      <c r="G5" s="8">
        <f t="shared" si="0"/>
        <v>0</v>
      </c>
      <c r="H5" s="7">
        <f>IFERROR(COUNTIFS(DQAF_Input!$D:$D,A5,DQAF_Input!$S:$S,5),0)</f>
        <v>0</v>
      </c>
      <c r="I5" s="8">
        <f t="shared" si="1"/>
        <v>0</v>
      </c>
      <c r="J5">
        <f>IFERROR(INDEX(__weights_indicator!$B:$B,MATCH(A5,__weights_indicator!$A:$A,0)),"")</f>
        <v>0.164705882</v>
      </c>
      <c r="K5" s="9">
        <f t="shared" si="2"/>
        <v>0</v>
      </c>
      <c r="L5" t="str">
        <f t="shared" si="3"/>
        <v>4_1</v>
      </c>
      <c r="M5" s="9">
        <f t="shared" si="4"/>
        <v>0</v>
      </c>
    </row>
    <row r="6" spans="1:13" x14ac:dyDescent="0.25">
      <c r="A6" s="4" t="s">
        <v>169</v>
      </c>
      <c r="B6" s="4" t="str">
        <f>IFERROR(INDEX(DQAF_Input!$A:$A,MATCH(A6,DQAF_Input!$D:$D,0)),"")</f>
        <v>Non-financial corporations surveys and administrative data are available on a regular basis and the definitions, scope, sectorization, classifications, valuation, and time of recording required reasonably approximate the requirements of the balance of payments / IIP.</v>
      </c>
      <c r="C6" s="6">
        <f>IFERROR((SUMIF(DQAF_Input!$D:$D,A6,DQAF_Input!$X:$X)/5)*100,"")</f>
        <v>0</v>
      </c>
      <c r="D6" s="6">
        <f>IFERROR((SUMIF(DQAF_Input!$D:$D,A6,DQAF_Input!$AD:$AD)/5)*100,"")</f>
        <v>0</v>
      </c>
      <c r="E6" s="7">
        <f>IFERROR(COUNTIFS(DQAF_Input!$D:$D,A6,DQAF_Input!$S:$S,"&lt;&gt;0"),0)</f>
        <v>0</v>
      </c>
      <c r="F6" s="7">
        <f>IFERROR(COUNTIF(DQAF_Input!$D:$D,A6),0)</f>
        <v>11</v>
      </c>
      <c r="G6" s="8">
        <f t="shared" si="0"/>
        <v>0</v>
      </c>
      <c r="H6" s="7">
        <f>IFERROR(COUNTIFS(DQAF_Input!$D:$D,A6,DQAF_Input!$S:$S,5),0)</f>
        <v>0</v>
      </c>
      <c r="I6" s="8">
        <f t="shared" si="1"/>
        <v>0</v>
      </c>
      <c r="J6">
        <f>IFERROR(INDEX(__weights_indicator!$B:$B,MATCH(A6,__weights_indicator!$A:$A,0)),"")</f>
        <v>0.12941176500000001</v>
      </c>
      <c r="K6" s="9">
        <f t="shared" si="2"/>
        <v>0</v>
      </c>
      <c r="L6" t="str">
        <f t="shared" si="3"/>
        <v>4_1</v>
      </c>
      <c r="M6" s="9">
        <f t="shared" si="4"/>
        <v>0</v>
      </c>
    </row>
    <row r="7" spans="1:13" x14ac:dyDescent="0.25">
      <c r="A7" s="4" t="s">
        <v>195</v>
      </c>
      <c r="B7" s="4" t="str">
        <f>IFERROR(INDEX(DQAF_Input!$A:$A,MATCH(A7,DQAF_Input!$D:$D,0)),"")</f>
        <v>Financial corporations surveys and administrative data are available on a regular basis and the definitions, scope, sectorization, classifications, valuation, and time of recording required reasonably approximate the requirements of the balance of payments / IIP.</v>
      </c>
      <c r="C7" s="6">
        <f>IFERROR((SUMIF(DQAF_Input!$D:$D,A7,DQAF_Input!$X:$X)/5)*100,"")</f>
        <v>0</v>
      </c>
      <c r="D7" s="6">
        <f>IFERROR((SUMIF(DQAF_Input!$D:$D,A7,DQAF_Input!$AD:$AD)/5)*100,"")</f>
        <v>0</v>
      </c>
      <c r="E7" s="7">
        <f>IFERROR(COUNTIFS(DQAF_Input!$D:$D,A7,DQAF_Input!$S:$S,"&lt;&gt;0"),0)</f>
        <v>0</v>
      </c>
      <c r="F7" s="7">
        <f>IFERROR(COUNTIF(DQAF_Input!$D:$D,A7),0)</f>
        <v>11</v>
      </c>
      <c r="G7" s="8">
        <f t="shared" si="0"/>
        <v>0</v>
      </c>
      <c r="H7" s="7">
        <f>IFERROR(COUNTIFS(DQAF_Input!$D:$D,A7,DQAF_Input!$S:$S,5),0)</f>
        <v>0</v>
      </c>
      <c r="I7" s="8">
        <f t="shared" si="1"/>
        <v>0</v>
      </c>
      <c r="J7">
        <f>IFERROR(INDEX(__weights_indicator!$B:$B,MATCH(A7,__weights_indicator!$A:$A,0)),"")</f>
        <v>0.12941176500000001</v>
      </c>
      <c r="K7" s="9">
        <f t="shared" si="2"/>
        <v>0</v>
      </c>
      <c r="L7" t="str">
        <f t="shared" si="3"/>
        <v>4_1</v>
      </c>
      <c r="M7" s="9">
        <f t="shared" si="4"/>
        <v>0</v>
      </c>
    </row>
    <row r="8" spans="1:13" x14ac:dyDescent="0.25">
      <c r="A8" s="4" t="s">
        <v>219</v>
      </c>
      <c r="B8" s="4" t="str">
        <f>IFERROR(INDEX(DQAF_Input!$A:$A,MATCH(A8,DQAF_Input!$D:$D,0)),"")</f>
        <v>Monthly/quarterly data are adequate for compiling monthly or quarterly BOP/IIP</v>
      </c>
      <c r="C8" s="6">
        <f>IFERROR((SUMIF(DQAF_Input!$D:$D,A8,DQAF_Input!$X:$X)/5)*100,"")</f>
        <v>0</v>
      </c>
      <c r="D8" s="6">
        <f>IFERROR((SUMIF(DQAF_Input!$D:$D,A8,DQAF_Input!$AD:$AD)/5)*100,"")</f>
        <v>0</v>
      </c>
      <c r="E8" s="7">
        <f>IFERROR(COUNTIFS(DQAF_Input!$D:$D,A8,DQAF_Input!$S:$S,"&lt;&gt;0"),0)</f>
        <v>0</v>
      </c>
      <c r="F8" s="7">
        <f>IFERROR(COUNTIF(DQAF_Input!$D:$D,A8),0)</f>
        <v>5</v>
      </c>
      <c r="G8" s="8">
        <f t="shared" si="0"/>
        <v>0</v>
      </c>
      <c r="H8" s="7">
        <f>IFERROR(COUNTIFS(DQAF_Input!$D:$D,A8,DQAF_Input!$S:$S,5),0)</f>
        <v>0</v>
      </c>
      <c r="I8" s="8">
        <f t="shared" si="1"/>
        <v>0</v>
      </c>
      <c r="J8">
        <f>IFERROR(INDEX(__weights_indicator!$B:$B,MATCH(A8,__weights_indicator!$A:$A,0)),"")</f>
        <v>5.8823528999999999E-2</v>
      </c>
      <c r="K8" s="9">
        <f t="shared" si="2"/>
        <v>0</v>
      </c>
      <c r="L8" t="str">
        <f t="shared" si="3"/>
        <v>4_1</v>
      </c>
      <c r="M8" s="9">
        <f t="shared" si="4"/>
        <v>0</v>
      </c>
    </row>
    <row r="9" spans="1:13" x14ac:dyDescent="0.25">
      <c r="A9" s="4" t="s">
        <v>233</v>
      </c>
      <c r="B9" s="4" t="str">
        <f>IFERROR(INDEX(DQAF_Input!$A:$A,MATCH(A9,DQAF_Input!$D:$D,0)),"")</f>
        <v>The data collection programs are sufficiently open and allow for versatility to new developments in sources.</v>
      </c>
      <c r="C9" s="6">
        <f>IFERROR((SUMIF(DQAF_Input!$D:$D,A9,DQAF_Input!$X:$X)/5)*100,"")</f>
        <v>0</v>
      </c>
      <c r="D9" s="6">
        <f>IFERROR((SUMIF(DQAF_Input!$D:$D,A9,DQAF_Input!$AD:$AD)/5)*100,"")</f>
        <v>0</v>
      </c>
      <c r="E9" s="7">
        <f>IFERROR(COUNTIFS(DQAF_Input!$D:$D,A9,DQAF_Input!$S:$S,"&lt;&gt;0"),0)</f>
        <v>0</v>
      </c>
      <c r="F9" s="7">
        <f>IFERROR(COUNTIF(DQAF_Input!$D:$D,A9),0)</f>
        <v>6</v>
      </c>
      <c r="G9" s="8">
        <f t="shared" si="0"/>
        <v>0</v>
      </c>
      <c r="H9" s="7">
        <f>IFERROR(COUNTIFS(DQAF_Input!$D:$D,A9,DQAF_Input!$S:$S,5),0)</f>
        <v>0</v>
      </c>
      <c r="I9" s="8">
        <f t="shared" si="1"/>
        <v>0</v>
      </c>
      <c r="J9">
        <f>IFERROR(INDEX(__weights_indicator!$B:$B,MATCH(A9,__weights_indicator!$A:$A,0)),"")</f>
        <v>7.0588234999999999E-2</v>
      </c>
      <c r="K9" s="9">
        <f t="shared" si="2"/>
        <v>0</v>
      </c>
      <c r="L9" t="str">
        <f t="shared" si="3"/>
        <v>4_1</v>
      </c>
      <c r="M9" s="9">
        <f t="shared" si="4"/>
        <v>0</v>
      </c>
    </row>
    <row r="10" spans="1:13" x14ac:dyDescent="0.25">
      <c r="A10" s="4" t="s">
        <v>254</v>
      </c>
      <c r="B10" s="4" t="str">
        <f>IFERROR(INDEX(DQAF_Input!$A:$A,MATCH(A10,DQAF_Input!$D:$D,0)),"")</f>
        <v>Source data are routinely assessed and the results of the assessments are monitored and guide statistical processes.</v>
      </c>
      <c r="C10" s="6">
        <f>IFERROR((SUMIF(DQAF_Input!$D:$D,A10,DQAF_Input!$X:$X)/5)*100,"")</f>
        <v>0</v>
      </c>
      <c r="D10" s="6">
        <f>IFERROR((SUMIF(DQAF_Input!$D:$D,A10,DQAF_Input!$AD:$AD)/5)*100,"")</f>
        <v>0</v>
      </c>
      <c r="E10" s="7">
        <f>IFERROR(COUNTIFS(DQAF_Input!$D:$D,A10,DQAF_Input!$S:$S,"&lt;&gt;0"),0)</f>
        <v>0</v>
      </c>
      <c r="F10" s="7">
        <f>IFERROR(COUNTIF(DQAF_Input!$D:$D,A10),0)</f>
        <v>12</v>
      </c>
      <c r="G10" s="8">
        <f t="shared" si="0"/>
        <v>0</v>
      </c>
      <c r="H10" s="7">
        <f>IFERROR(COUNTIFS(DQAF_Input!$D:$D,A10,DQAF_Input!$S:$S,5),0)</f>
        <v>0</v>
      </c>
      <c r="I10" s="8">
        <f t="shared" si="1"/>
        <v>0</v>
      </c>
      <c r="J10">
        <f>IFERROR(INDEX(__weights_indicator!$B:$B,MATCH(A10,__weights_indicator!$A:$A,0)),"")</f>
        <v>1</v>
      </c>
      <c r="K10" s="9">
        <f t="shared" si="2"/>
        <v>0</v>
      </c>
      <c r="L10" t="str">
        <f t="shared" si="3"/>
        <v>4_2</v>
      </c>
      <c r="M10" s="9">
        <f t="shared" si="4"/>
        <v>0</v>
      </c>
    </row>
    <row r="11" spans="1:13" x14ac:dyDescent="0.25">
      <c r="A11" s="4" t="s">
        <v>282</v>
      </c>
      <c r="B11" s="4" t="str">
        <f>IFERROR(INDEX(DQAF_Input!$A:$A,MATCH(A11,DQAF_Input!$D:$D,0)),"")</f>
        <v>Data compilation employs sound statistical techniques to process source data.</v>
      </c>
      <c r="C11" s="6">
        <f>IFERROR((SUMIF(DQAF_Input!$D:$D,A11,DQAF_Input!$X:$X)/5)*100,"")</f>
        <v>0</v>
      </c>
      <c r="D11" s="6">
        <f>IFERROR((SUMIF(DQAF_Input!$D:$D,A11,DQAF_Input!$AD:$AD)/5)*100,"")</f>
        <v>0</v>
      </c>
      <c r="E11" s="7">
        <f>IFERROR(COUNTIFS(DQAF_Input!$D:$D,A11,DQAF_Input!$S:$S,"&lt;&gt;0"),0)</f>
        <v>0</v>
      </c>
      <c r="F11" s="7">
        <f>IFERROR(COUNTIF(DQAF_Input!$D:$D,A11),0)</f>
        <v>18</v>
      </c>
      <c r="G11" s="8">
        <f t="shared" si="0"/>
        <v>0</v>
      </c>
      <c r="H11" s="7">
        <f>IFERROR(COUNTIFS(DQAF_Input!$D:$D,A11,DQAF_Input!$S:$S,5),0)</f>
        <v>0</v>
      </c>
      <c r="I11" s="8">
        <f t="shared" si="1"/>
        <v>0</v>
      </c>
      <c r="J11">
        <f>IFERROR(INDEX(__weights_indicator!$B:$B,MATCH(A11,__weights_indicator!$A:$A,0)),"")</f>
        <v>1</v>
      </c>
      <c r="K11" s="9">
        <f t="shared" si="2"/>
        <v>0</v>
      </c>
      <c r="L11" t="str">
        <f t="shared" si="3"/>
        <v>4_3</v>
      </c>
      <c r="M11" s="9">
        <f t="shared" si="4"/>
        <v>0</v>
      </c>
    </row>
    <row r="12" spans="1:13" x14ac:dyDescent="0.25">
      <c r="A12" s="4" t="s">
        <v>322</v>
      </c>
      <c r="B12" s="4" t="str">
        <f>IFERROR(INDEX(DQAF_Input!$A:$A,MATCH(A12,DQAF_Input!$D:$D,0)),"")</f>
        <v>Intermediate and Final Output are validated against other information where applicable.</v>
      </c>
      <c r="C12" s="6">
        <f>IFERROR((SUMIF(DQAF_Input!$D:$D,A12,DQAF_Input!$X:$X)/5)*100,"")</f>
        <v>0</v>
      </c>
      <c r="D12" s="6">
        <f>IFERROR((SUMIF(DQAF_Input!$D:$D,A12,DQAF_Input!$AD:$AD)/5)*100,"")</f>
        <v>0</v>
      </c>
      <c r="E12" s="7">
        <f>IFERROR(COUNTIFS(DQAF_Input!$D:$D,A12,DQAF_Input!$S:$S,"&lt;&gt;0"),0)</f>
        <v>0</v>
      </c>
      <c r="F12" s="7">
        <f>IFERROR(COUNTIF(DQAF_Input!$D:$D,A12),0)</f>
        <v>10</v>
      </c>
      <c r="G12" s="8">
        <f t="shared" si="0"/>
        <v>0</v>
      </c>
      <c r="H12" s="7">
        <f>IFERROR(COUNTIFS(DQAF_Input!$D:$D,A12,DQAF_Input!$S:$S,5),0)</f>
        <v>0</v>
      </c>
      <c r="I12" s="8">
        <f t="shared" si="1"/>
        <v>0</v>
      </c>
      <c r="J12">
        <f>IFERROR(INDEX(__weights_indicator!$B:$B,MATCH(A12,__weights_indicator!$A:$A,0)),"")</f>
        <v>0.55555555599999995</v>
      </c>
      <c r="K12" s="9">
        <f t="shared" si="2"/>
        <v>0</v>
      </c>
      <c r="L12" t="str">
        <f t="shared" si="3"/>
        <v>4_4</v>
      </c>
      <c r="M12" s="9">
        <f t="shared" si="4"/>
        <v>0</v>
      </c>
    </row>
    <row r="13" spans="1:13" x14ac:dyDescent="0.25">
      <c r="A13" s="4" t="s">
        <v>345</v>
      </c>
      <c r="B13" s="4" t="str">
        <f>IFERROR(INDEX(DQAF_Input!$A:$A,MATCH(A13,DQAF_Input!$D:$D,0)),"")</f>
        <v>Statistical discrepancies and other potential indicators of problems in statistical outputs are investigated.</v>
      </c>
      <c r="C13" s="6">
        <f>IFERROR((SUMIF(DQAF_Input!$D:$D,A13,DQAF_Input!$X:$X)/5)*100,"")</f>
        <v>0</v>
      </c>
      <c r="D13" s="6">
        <f>IFERROR((SUMIF(DQAF_Input!$D:$D,A13,DQAF_Input!$AD:$AD)/5)*100,"")</f>
        <v>0</v>
      </c>
      <c r="E13" s="7">
        <f>IFERROR(COUNTIFS(DQAF_Input!$D:$D,A13,DQAF_Input!$S:$S,"&lt;&gt;0"),0)</f>
        <v>0</v>
      </c>
      <c r="F13" s="7">
        <f>IFERROR(COUNTIF(DQAF_Input!$D:$D,A13),0)</f>
        <v>5</v>
      </c>
      <c r="G13" s="8">
        <f t="shared" si="0"/>
        <v>0</v>
      </c>
      <c r="H13" s="7">
        <f>IFERROR(COUNTIFS(DQAF_Input!$D:$D,A13,DQAF_Input!$S:$S,5),0)</f>
        <v>0</v>
      </c>
      <c r="I13" s="8">
        <f t="shared" si="1"/>
        <v>0</v>
      </c>
      <c r="J13">
        <f>IFERROR(INDEX(__weights_indicator!$B:$B,MATCH(A13,__weights_indicator!$A:$A,0)),"")</f>
        <v>0.44444444399999999</v>
      </c>
      <c r="K13" s="9">
        <f t="shared" si="2"/>
        <v>0</v>
      </c>
      <c r="L13" t="str">
        <f t="shared" si="3"/>
        <v>4_4</v>
      </c>
      <c r="M13" s="9">
        <f t="shared" si="4"/>
        <v>0</v>
      </c>
    </row>
    <row r="14" spans="1:13" x14ac:dyDescent="0.25">
      <c r="A14" s="4" t="s">
        <v>357</v>
      </c>
      <c r="B14" s="4" t="str">
        <f>IFERROR(INDEX(DQAF_Input!$A:$A,MATCH(A14,DQAF_Input!$D:$D,0)),"")</f>
        <v>Studies and analyses of revisions and/or updates are carried out and used internally to inform statistical processes.</v>
      </c>
      <c r="C14" s="6">
        <f>IFERROR((SUMIF(DQAF_Input!$D:$D,A14,DQAF_Input!$X:$X)/5)*100,"")</f>
        <v>0</v>
      </c>
      <c r="D14" s="6">
        <f>IFERROR((SUMIF(DQAF_Input!$D:$D,A14,DQAF_Input!$AD:$AD)/5)*100,"")</f>
        <v>0</v>
      </c>
      <c r="E14" s="7">
        <f>IFERROR(COUNTIFS(DQAF_Input!$D:$D,A14,DQAF_Input!$S:$S,"&lt;&gt;0"),0)</f>
        <v>0</v>
      </c>
      <c r="F14" s="7">
        <f>IFERROR(COUNTIF(DQAF_Input!$D:$D,A14),0)</f>
        <v>7</v>
      </c>
      <c r="G14" s="8">
        <f t="shared" si="0"/>
        <v>0</v>
      </c>
      <c r="H14" s="7">
        <f>IFERROR(COUNTIFS(DQAF_Input!$D:$D,A14,DQAF_Input!$S:$S,5),0)</f>
        <v>0</v>
      </c>
      <c r="I14" s="8">
        <f t="shared" si="1"/>
        <v>0</v>
      </c>
      <c r="J14">
        <f>IFERROR(INDEX(__weights_indicator!$B:$B,MATCH(A14,__weights_indicator!$A:$A,0)),"")</f>
        <v>1</v>
      </c>
      <c r="K14" s="9">
        <f t="shared" si="2"/>
        <v>0</v>
      </c>
      <c r="L14" t="str">
        <f t="shared" si="3"/>
        <v>4_5</v>
      </c>
      <c r="M14" s="9">
        <f t="shared" si="4"/>
        <v>0</v>
      </c>
    </row>
    <row r="15" spans="1:13" x14ac:dyDescent="0.25">
      <c r="A15" s="4" t="s">
        <v>375</v>
      </c>
      <c r="B15" s="4" t="str">
        <f>IFERROR(INDEX(DQAF_Input!$A:$A,MATCH(A15,DQAF_Input!$D:$D,0)),"")</f>
        <v>Statistics are internally consistent</v>
      </c>
      <c r="C15" s="6">
        <f>IFERROR((SUMIF(DQAF_Input!$D:$D,A15,DQAF_Input!$X:$X)/5)*100,"")</f>
        <v>0</v>
      </c>
      <c r="D15" s="6">
        <f>IFERROR((SUMIF(DQAF_Input!$D:$D,A15,DQAF_Input!$AD:$AD)/5)*100,"")</f>
        <v>0</v>
      </c>
      <c r="E15" s="7">
        <f>IFERROR(COUNTIFS(DQAF_Input!$D:$D,A15,DQAF_Input!$S:$S,"&lt;&gt;0"),0)</f>
        <v>0</v>
      </c>
      <c r="F15" s="7">
        <f>IFERROR(COUNTIF(DQAF_Input!$D:$D,A15),0)</f>
        <v>5</v>
      </c>
      <c r="G15" s="8">
        <f t="shared" si="0"/>
        <v>0</v>
      </c>
      <c r="H15" s="7">
        <f>IFERROR(COUNTIFS(DQAF_Input!$D:$D,A15,DQAF_Input!$S:$S,5),0)</f>
        <v>0</v>
      </c>
      <c r="I15" s="8">
        <f t="shared" si="1"/>
        <v>0</v>
      </c>
      <c r="J15">
        <f>IFERROR(INDEX(__weights_indicator!$B:$B,MATCH(A15,__weights_indicator!$A:$A,0)),"")</f>
        <v>0.4</v>
      </c>
      <c r="K15" s="9">
        <f t="shared" si="2"/>
        <v>0</v>
      </c>
      <c r="L15" t="str">
        <f t="shared" si="3"/>
        <v>4_6</v>
      </c>
      <c r="M15" s="9">
        <f t="shared" si="4"/>
        <v>0</v>
      </c>
    </row>
    <row r="16" spans="1:13" x14ac:dyDescent="0.25">
      <c r="A16" s="4" t="s">
        <v>390</v>
      </c>
      <c r="B16" s="4" t="str">
        <f>IFERROR(INDEX(DQAF_Input!$A:$A,MATCH(A16,DQAF_Input!$D:$D,0)),"")</f>
        <v>Statistics are consistent over a reasonable period of time.</v>
      </c>
      <c r="C16" s="6">
        <f>IFERROR((SUMIF(DQAF_Input!$D:$D,A16,DQAF_Input!$X:$X)/5)*100,"")</f>
        <v>0</v>
      </c>
      <c r="D16" s="6">
        <f>IFERROR((SUMIF(DQAF_Input!$D:$D,A16,DQAF_Input!$AD:$AD)/5)*100,"")</f>
        <v>0</v>
      </c>
      <c r="E16" s="7">
        <f>IFERROR(COUNTIFS(DQAF_Input!$D:$D,A16,DQAF_Input!$S:$S,"&lt;&gt;0"),0)</f>
        <v>0</v>
      </c>
      <c r="F16" s="7">
        <f>IFERROR(COUNTIF(DQAF_Input!$D:$D,A16),0)</f>
        <v>3</v>
      </c>
      <c r="G16" s="8">
        <f t="shared" si="0"/>
        <v>0</v>
      </c>
      <c r="H16" s="7">
        <f>IFERROR(COUNTIFS(DQAF_Input!$D:$D,A16,DQAF_Input!$S:$S,5),0)</f>
        <v>0</v>
      </c>
      <c r="I16" s="8">
        <f t="shared" si="1"/>
        <v>0</v>
      </c>
      <c r="J16">
        <f>IFERROR(INDEX(__weights_indicator!$B:$B,MATCH(A16,__weights_indicator!$A:$A,0)),"")</f>
        <v>0.2</v>
      </c>
      <c r="K16" s="9">
        <f t="shared" si="2"/>
        <v>0</v>
      </c>
      <c r="L16" t="str">
        <f t="shared" si="3"/>
        <v>4_6</v>
      </c>
      <c r="M16" s="9">
        <f t="shared" si="4"/>
        <v>0</v>
      </c>
    </row>
    <row r="17" spans="1:13" x14ac:dyDescent="0.25">
      <c r="A17" s="4" t="s">
        <v>399</v>
      </c>
      <c r="B17" s="4" t="str">
        <f>IFERROR(INDEX(DQAF_Input!$A:$A,MATCH(A17,DQAF_Input!$D:$D,0)),"")</f>
        <v>Statistics are consistent or reconcilable with those obtained from other comparable frameworks</v>
      </c>
      <c r="C17" s="6">
        <f>IFERROR((SUMIF(DQAF_Input!$D:$D,A17,DQAF_Input!$X:$X)/5)*100,"")</f>
        <v>0</v>
      </c>
      <c r="D17" s="6">
        <f>IFERROR((SUMIF(DQAF_Input!$D:$D,A17,DQAF_Input!$AD:$AD)/5)*100,"")</f>
        <v>0</v>
      </c>
      <c r="E17" s="7">
        <f>IFERROR(COUNTIFS(DQAF_Input!$D:$D,A17,DQAF_Input!$S:$S,"&lt;&gt;0"),0)</f>
        <v>0</v>
      </c>
      <c r="F17" s="7">
        <f>IFERROR(COUNTIF(DQAF_Input!$D:$D,A17),0)</f>
        <v>7</v>
      </c>
      <c r="G17" s="8">
        <f t="shared" si="0"/>
        <v>0</v>
      </c>
      <c r="H17" s="7">
        <f>IFERROR(COUNTIFS(DQAF_Input!$D:$D,A17,DQAF_Input!$S:$S,5),0)</f>
        <v>0</v>
      </c>
      <c r="I17" s="8">
        <f t="shared" si="1"/>
        <v>0</v>
      </c>
      <c r="J17">
        <f>IFERROR(INDEX(__weights_indicator!$B:$B,MATCH(A17,__weights_indicator!$A:$A,0)),"")</f>
        <v>0.4</v>
      </c>
      <c r="K17" s="9">
        <f t="shared" si="2"/>
        <v>0</v>
      </c>
      <c r="L17" t="str">
        <f t="shared" si="3"/>
        <v>4_6</v>
      </c>
      <c r="M17" s="9">
        <f t="shared" si="4"/>
        <v>0</v>
      </c>
    </row>
  </sheetData>
  <sheetProtection algorithmName="SHA-512" hashValue="n7/CNmhv2zv0zpWvJhjR5ZCZqUhTDzhsa8p1GAjdwovomZwU6za6morT0VgErDjN1O1F3lq7MYW0bYJ9Hc+Y8A==" saltValue="SHWw6Y5YlcpBaKDA5MzMUw==" spinCount="100000" sheet="1" objects="1" scenarios="1"/>
  <pageMargins left="0.05" right="0.05" top="0.05" bottom="0.05" header="0" footer="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
  <sheetViews>
    <sheetView workbookViewId="0">
      <pane ySplit="1" topLeftCell="A2" activePane="bottomLeft" state="frozen"/>
      <selection activeCell="H18" sqref="H18"/>
      <selection pane="bottomLeft" activeCell="H18" sqref="H18"/>
    </sheetView>
  </sheetViews>
  <sheetFormatPr defaultRowHeight="15" x14ac:dyDescent="0.25"/>
  <cols>
    <col min="1" max="1" width="22" customWidth="1"/>
    <col min="2" max="2" width="50" customWidth="1"/>
    <col min="3" max="9" width="25" customWidth="1"/>
    <col min="10" max="13" width="13" hidden="1" customWidth="1"/>
  </cols>
  <sheetData>
    <row r="1" spans="1:13" ht="24.95" customHeight="1" x14ac:dyDescent="0.25">
      <c r="A1" s="2" t="s">
        <v>872</v>
      </c>
      <c r="B1" s="2" t="s">
        <v>1715</v>
      </c>
      <c r="C1" s="2" t="s">
        <v>1705</v>
      </c>
      <c r="D1" s="2" t="s">
        <v>1706</v>
      </c>
      <c r="E1" s="2" t="s">
        <v>1707</v>
      </c>
      <c r="F1" s="2" t="s">
        <v>1708</v>
      </c>
      <c r="G1" s="2" t="s">
        <v>1709</v>
      </c>
      <c r="H1" s="2" t="s">
        <v>1710</v>
      </c>
      <c r="I1" s="2" t="s">
        <v>1711</v>
      </c>
      <c r="J1" s="10" t="s">
        <v>1716</v>
      </c>
      <c r="K1" s="10" t="s">
        <v>1717</v>
      </c>
      <c r="L1" s="10" t="s">
        <v>17</v>
      </c>
      <c r="M1" s="10" t="s">
        <v>1718</v>
      </c>
    </row>
    <row r="2" spans="1:13" x14ac:dyDescent="0.25">
      <c r="A2" s="4" t="s">
        <v>35</v>
      </c>
      <c r="B2" s="4" t="str">
        <f>IFERROR(INDEX(__weights_element!$B:$B,MATCH(A2,__weights_element!$A:$A,0)),"")</f>
        <v>Source data are adequate to ensure accuracy and reliability.</v>
      </c>
      <c r="C2" s="6">
        <f>IFERROR(SUMIF('Maturity by Indicator'!$L:$L,A2,'Maturity by Indicator'!$K:$K),"")</f>
        <v>0</v>
      </c>
      <c r="D2" s="6">
        <f>IFERROR(SUMIF('Maturity by Indicator'!$L:$L,A2,'Maturity by Indicator'!$M:$M),"")</f>
        <v>0</v>
      </c>
      <c r="E2" s="4">
        <f>IFERROR(COUNTIFS(DQAF_Input!$C:$C,A2,DQAF_Input!$S:$S,"&lt;&gt;0"),0)</f>
        <v>0</v>
      </c>
      <c r="F2" s="7">
        <f>IFERROR(COUNTIF(DQAF_Input!$C:$C,A2),0)</f>
        <v>85</v>
      </c>
      <c r="G2" s="8">
        <f t="shared" ref="G2:G7" si="0">IF(F2=0,"",E2/F2)</f>
        <v>0</v>
      </c>
      <c r="H2" s="7">
        <f>IFERROR(COUNTIFS(DQAF_Input!$C:$C,A2,DQAF_Input!$S:$S,5),0)</f>
        <v>0</v>
      </c>
      <c r="I2" s="8">
        <f t="shared" ref="I2:I7" si="1">IF(F2=0,"",H2/F2)</f>
        <v>0</v>
      </c>
      <c r="J2" s="4">
        <f>IFERROR(INDEX(__weights_element!$C:$C,MATCH(A2,__weights_element!$A:$A,0)),"")</f>
        <v>0.4</v>
      </c>
      <c r="K2" s="11">
        <f t="shared" ref="K2:K7" si="2">IF(OR(J2="",C2=""),"",J2*C2)</f>
        <v>0</v>
      </c>
      <c r="L2" s="4" t="str">
        <f t="shared" ref="L2:L7" si="3">IFERROR(LEFT(A2,FIND("_",A2)-1),A2)</f>
        <v>4</v>
      </c>
      <c r="M2" s="11">
        <f t="shared" ref="M2:M7" si="4">IF(OR(J2="",D2=""),"",J2*D2)</f>
        <v>0</v>
      </c>
    </row>
    <row r="3" spans="1:13" x14ac:dyDescent="0.25">
      <c r="A3" s="4" t="s">
        <v>253</v>
      </c>
      <c r="B3" s="4" t="str">
        <f>IFERROR(INDEX(__weights_element!$B:$B,MATCH(A3,__weights_element!$A:$A,0)),"")</f>
        <v>Accuracy of source data is regularly assessed</v>
      </c>
      <c r="C3" s="6">
        <f>IFERROR(SUMIF('Maturity by Indicator'!$L:$L,A3,'Maturity by Indicator'!$K:$K),"")</f>
        <v>0</v>
      </c>
      <c r="D3" s="6">
        <f>IFERROR(SUMIF('Maturity by Indicator'!$L:$L,A3,'Maturity by Indicator'!$M:$M),"")</f>
        <v>0</v>
      </c>
      <c r="E3" s="4">
        <f>IFERROR(COUNTIFS(DQAF_Input!$C:$C,A3,DQAF_Input!$S:$S,"&lt;&gt;0"),0)</f>
        <v>0</v>
      </c>
      <c r="F3" s="7">
        <f>IFERROR(COUNTIF(DQAF_Input!$C:$C,A3),0)</f>
        <v>12</v>
      </c>
      <c r="G3" s="8">
        <f t="shared" si="0"/>
        <v>0</v>
      </c>
      <c r="H3" s="7">
        <f>IFERROR(COUNTIFS(DQAF_Input!$C:$C,A3,DQAF_Input!$S:$S,5),0)</f>
        <v>0</v>
      </c>
      <c r="I3" s="8">
        <f t="shared" si="1"/>
        <v>0</v>
      </c>
      <c r="J3" s="4">
        <f>IFERROR(INDEX(__weights_element!$C:$C,MATCH(A3,__weights_element!$A:$A,0)),"")</f>
        <v>0.05</v>
      </c>
      <c r="K3" s="11">
        <f t="shared" si="2"/>
        <v>0</v>
      </c>
      <c r="L3" s="4" t="str">
        <f t="shared" si="3"/>
        <v>4</v>
      </c>
      <c r="M3" s="11">
        <f t="shared" si="4"/>
        <v>0</v>
      </c>
    </row>
    <row r="4" spans="1:13" x14ac:dyDescent="0.25">
      <c r="A4" s="4" t="s">
        <v>281</v>
      </c>
      <c r="B4" s="4" t="str">
        <f>IFERROR(INDEX(__weights_element!$B:$B,MATCH(A4,__weights_element!$A:$A,0)),"")</f>
        <v>Rigorous statistical techniques are used for modeling, estimation, imputation, editing and valuation.</v>
      </c>
      <c r="C4" s="6">
        <f>IFERROR(SUMIF('Maturity by Indicator'!$L:$L,A4,'Maturity by Indicator'!$K:$K),"")</f>
        <v>0</v>
      </c>
      <c r="D4" s="6">
        <f>IFERROR(SUMIF('Maturity by Indicator'!$L:$L,A4,'Maturity by Indicator'!$M:$M),"")</f>
        <v>0</v>
      </c>
      <c r="E4" s="4">
        <f>IFERROR(COUNTIFS(DQAF_Input!$C:$C,A4,DQAF_Input!$S:$S,"&lt;&gt;0"),0)</f>
        <v>0</v>
      </c>
      <c r="F4" s="7">
        <f>IFERROR(COUNTIF(DQAF_Input!$C:$C,A4),0)</f>
        <v>18</v>
      </c>
      <c r="G4" s="8">
        <f t="shared" si="0"/>
        <v>0</v>
      </c>
      <c r="H4" s="7">
        <f>IFERROR(COUNTIFS(DQAF_Input!$C:$C,A4,DQAF_Input!$S:$S,5),0)</f>
        <v>0</v>
      </c>
      <c r="I4" s="8">
        <f t="shared" si="1"/>
        <v>0</v>
      </c>
      <c r="J4" s="4">
        <f>IFERROR(INDEX(__weights_element!$C:$C,MATCH(A4,__weights_element!$A:$A,0)),"")</f>
        <v>0.1</v>
      </c>
      <c r="K4" s="11">
        <f t="shared" si="2"/>
        <v>0</v>
      </c>
      <c r="L4" s="4" t="str">
        <f t="shared" si="3"/>
        <v>4</v>
      </c>
      <c r="M4" s="11">
        <f t="shared" si="4"/>
        <v>0</v>
      </c>
    </row>
    <row r="5" spans="1:13" x14ac:dyDescent="0.25">
      <c r="A5" s="4" t="s">
        <v>321</v>
      </c>
      <c r="B5" s="4" t="str">
        <f>IFERROR(INDEX(__weights_element!$B:$B,MATCH(A5,__weights_element!$A:$A,0)),"")</f>
        <v>Rigourous quality assurance practices are employed</v>
      </c>
      <c r="C5" s="6">
        <f>IFERROR(SUMIF('Maturity by Indicator'!$L:$L,A5,'Maturity by Indicator'!$K:$K),"")</f>
        <v>0</v>
      </c>
      <c r="D5" s="6">
        <f>IFERROR(SUMIF('Maturity by Indicator'!$L:$L,A5,'Maturity by Indicator'!$M:$M),"")</f>
        <v>0</v>
      </c>
      <c r="E5" s="4">
        <f>IFERROR(COUNTIFS(DQAF_Input!$C:$C,A5,DQAF_Input!$S:$S,"&lt;&gt;0"),0)</f>
        <v>0</v>
      </c>
      <c r="F5" s="7">
        <f>IFERROR(COUNTIF(DQAF_Input!$C:$C,A5),0)</f>
        <v>15</v>
      </c>
      <c r="G5" s="8">
        <f t="shared" si="0"/>
        <v>0</v>
      </c>
      <c r="H5" s="7">
        <f>IFERROR(COUNTIFS(DQAF_Input!$C:$C,A5,DQAF_Input!$S:$S,5),0)</f>
        <v>0</v>
      </c>
      <c r="I5" s="8">
        <f t="shared" si="1"/>
        <v>0</v>
      </c>
      <c r="J5" s="4">
        <f>IFERROR(INDEX(__weights_element!$C:$C,MATCH(A5,__weights_element!$A:$A,0)),"")</f>
        <v>0.1</v>
      </c>
      <c r="K5" s="11">
        <f t="shared" si="2"/>
        <v>0</v>
      </c>
      <c r="L5" s="4" t="str">
        <f t="shared" si="3"/>
        <v>4</v>
      </c>
      <c r="M5" s="11">
        <f t="shared" si="4"/>
        <v>0</v>
      </c>
    </row>
    <row r="6" spans="1:13" x14ac:dyDescent="0.25">
      <c r="A6" s="4" t="s">
        <v>356</v>
      </c>
      <c r="B6" s="4" t="str">
        <f>IFERROR(INDEX(__weights_element!$B:$B,MATCH(A6,__weights_element!$A:$A,0)),"")</f>
        <v>Revisions analysis and reliability monitoring is conducted.</v>
      </c>
      <c r="C6" s="6">
        <f>IFERROR(SUMIF('Maturity by Indicator'!$L:$L,A6,'Maturity by Indicator'!$K:$K),"")</f>
        <v>0</v>
      </c>
      <c r="D6" s="6">
        <f>IFERROR(SUMIF('Maturity by Indicator'!$L:$L,A6,'Maturity by Indicator'!$M:$M),"")</f>
        <v>0</v>
      </c>
      <c r="E6" s="4">
        <f>IFERROR(COUNTIFS(DQAF_Input!$C:$C,A6,DQAF_Input!$S:$S,"&lt;&gt;0"),0)</f>
        <v>0</v>
      </c>
      <c r="F6" s="7">
        <f>IFERROR(COUNTIF(DQAF_Input!$C:$C,A6),0)</f>
        <v>7</v>
      </c>
      <c r="G6" s="8">
        <f t="shared" si="0"/>
        <v>0</v>
      </c>
      <c r="H6" s="7">
        <f>IFERROR(COUNTIFS(DQAF_Input!$C:$C,A6,DQAF_Input!$S:$S,5),0)</f>
        <v>0</v>
      </c>
      <c r="I6" s="8">
        <f t="shared" si="1"/>
        <v>0</v>
      </c>
      <c r="J6" s="4">
        <f>IFERROR(INDEX(__weights_element!$C:$C,MATCH(A6,__weights_element!$A:$A,0)),"")</f>
        <v>0.05</v>
      </c>
      <c r="K6" s="11">
        <f t="shared" si="2"/>
        <v>0</v>
      </c>
      <c r="L6" s="4" t="str">
        <f t="shared" si="3"/>
        <v>4</v>
      </c>
      <c r="M6" s="11">
        <f t="shared" si="4"/>
        <v>0</v>
      </c>
    </row>
    <row r="7" spans="1:13" x14ac:dyDescent="0.25">
      <c r="A7" s="4" t="s">
        <v>374</v>
      </c>
      <c r="B7" s="4" t="str">
        <f>IFERROR(INDEX(__weights_element!$B:$B,MATCH(A7,__weights_element!$A:$A,0)),"")</f>
        <v>Data consistency</v>
      </c>
      <c r="C7" s="6">
        <f>IFERROR(SUMIF('Maturity by Indicator'!$L:$L,A7,'Maturity by Indicator'!$K:$K),"")</f>
        <v>0</v>
      </c>
      <c r="D7" s="6">
        <f>IFERROR(SUMIF('Maturity by Indicator'!$L:$L,A7,'Maturity by Indicator'!$M:$M),"")</f>
        <v>0</v>
      </c>
      <c r="E7" s="4">
        <f>IFERROR(COUNTIFS(DQAF_Input!$C:$C,A7,DQAF_Input!$S:$S,"&lt;&gt;0"),0)</f>
        <v>0</v>
      </c>
      <c r="F7" s="7">
        <f>IFERROR(COUNTIF(DQAF_Input!$C:$C,A7),0)</f>
        <v>15</v>
      </c>
      <c r="G7" s="8">
        <f t="shared" si="0"/>
        <v>0</v>
      </c>
      <c r="H7" s="7">
        <f>IFERROR(COUNTIFS(DQAF_Input!$C:$C,A7,DQAF_Input!$S:$S,5),0)</f>
        <v>0</v>
      </c>
      <c r="I7" s="8">
        <f t="shared" si="1"/>
        <v>0</v>
      </c>
      <c r="J7" s="4">
        <f>IFERROR(INDEX(__weights_element!$C:$C,MATCH(A7,__weights_element!$A:$A,0)),"")</f>
        <v>0.3</v>
      </c>
      <c r="K7" s="11">
        <f t="shared" si="2"/>
        <v>0</v>
      </c>
      <c r="L7" s="4" t="str">
        <f t="shared" si="3"/>
        <v>4</v>
      </c>
      <c r="M7" s="11">
        <f t="shared" si="4"/>
        <v>0</v>
      </c>
    </row>
  </sheetData>
  <sheetProtection algorithmName="SHA-512" hashValue="m4lVnPUvOGoIzkGf9IAKrzph9DmfLdiFrl8FDhgyS2LTA1GTH7F0425lbCDEmn5WbRng3FjqEjl7j3PAZu5mbw==" saltValue="1h9EZTaH5pnsl6yOTqfOjw==" spinCount="100000" sheet="1" objects="1" scenarios="1"/>
  <pageMargins left="0.05" right="0.05" top="0.05" bottom="0.05" header="0" footer="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
  <sheetViews>
    <sheetView workbookViewId="0">
      <pane ySplit="1" topLeftCell="A2" activePane="bottomLeft" state="frozen"/>
      <selection activeCell="H18" sqref="H18"/>
      <selection pane="bottomLeft" activeCell="H18" sqref="H18"/>
    </sheetView>
  </sheetViews>
  <sheetFormatPr defaultRowHeight="15" x14ac:dyDescent="0.25"/>
  <cols>
    <col min="1" max="1" width="16" customWidth="1"/>
    <col min="2" max="3" width="22" customWidth="1"/>
  </cols>
  <sheetData>
    <row r="1" spans="1:3" ht="24.95" customHeight="1" x14ac:dyDescent="0.25">
      <c r="A1" s="2" t="s">
        <v>1719</v>
      </c>
      <c r="B1" s="2" t="s">
        <v>1720</v>
      </c>
      <c r="C1" s="2" t="s">
        <v>1721</v>
      </c>
    </row>
    <row r="2" spans="1:3" x14ac:dyDescent="0.25">
      <c r="A2" s="4" t="s">
        <v>34</v>
      </c>
      <c r="B2" s="6">
        <f>IFERROR(SUMIF('Maturity by Element'!$L:$L,A2,'Maturity by Element'!$K:$K),"")</f>
        <v>0</v>
      </c>
      <c r="C2" s="6">
        <f>IFERROR(SUMIF('Maturity by Element'!$L:$L,A2,'Maturity by Element'!$M:$M),"")</f>
        <v>0</v>
      </c>
    </row>
  </sheetData>
  <sheetProtection algorithmName="SHA-512" hashValue="f8kz8f+WcfjHCMBy84ohYrZEQz5T2xjnUpQTgb0arQHvINj4WE8CAJ2b7Ep78PHsT9guM/cv42pxvtyxJPb4tw==" saltValue="QsEM3X6lBANpCo7Zy4ipoQ==" spinCount="100000" sheet="1" objects="1" scenarios="1"/>
  <pageMargins left="0.05" right="0.05" top="0.05" bottom="0.05" header="0" footer="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DQAF_Input</vt:lpstr>
      <vt:lpstr>__lists</vt:lpstr>
      <vt:lpstr>__key</vt:lpstr>
      <vt:lpstr>__weights_indicator</vt:lpstr>
      <vt:lpstr>__weights_element</vt:lpstr>
      <vt:lpstr>__rbp_p</vt:lpstr>
      <vt:lpstr>Maturity by Indicator</vt:lpstr>
      <vt:lpstr>Maturity by Element</vt:lpstr>
      <vt:lpstr>Maturity by Dimension</vt:lpstr>
      <vt:lpstr>S&amp;C Not Relevant</vt:lpstr>
      <vt:lpstr>Draft Action 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Jannick Damgaard</cp:lastModifiedBy>
  <dcterms:created xsi:type="dcterms:W3CDTF">2026-02-09T01:55:51Z</dcterms:created>
  <dcterms:modified xsi:type="dcterms:W3CDTF">2026-02-26T17:32:11Z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07ed86-5dc5-4593-ad03-a8684b843815_Enabled">
    <vt:lpwstr>true</vt:lpwstr>
  </property>
  <property fmtid="{D5CDD505-2E9C-101B-9397-08002B2CF9AE}" pid="3" name="MSIP_Label_0c07ed86-5dc5-4593-ad03-a8684b843815_SetDate">
    <vt:lpwstr>2026-02-26T17:32:11Z</vt:lpwstr>
  </property>
  <property fmtid="{D5CDD505-2E9C-101B-9397-08002B2CF9AE}" pid="4" name="MSIP_Label_0c07ed86-5dc5-4593-ad03-a8684b843815_Method">
    <vt:lpwstr>Standard</vt:lpwstr>
  </property>
  <property fmtid="{D5CDD505-2E9C-101B-9397-08002B2CF9AE}" pid="5" name="MSIP_Label_0c07ed86-5dc5-4593-ad03-a8684b843815_Name">
    <vt:lpwstr>0c07ed86-5dc5-4593-ad03-a8684b843815</vt:lpwstr>
  </property>
  <property fmtid="{D5CDD505-2E9C-101B-9397-08002B2CF9AE}" pid="6" name="MSIP_Label_0c07ed86-5dc5-4593-ad03-a8684b843815_SiteId">
    <vt:lpwstr>8085fa43-302e-45bd-b171-a6648c3b6be7</vt:lpwstr>
  </property>
  <property fmtid="{D5CDD505-2E9C-101B-9397-08002B2CF9AE}" pid="7" name="MSIP_Label_0c07ed86-5dc5-4593-ad03-a8684b843815_ActionId">
    <vt:lpwstr>5e0fa7f9-1347-4e49-81b4-6dd7f9a2a688</vt:lpwstr>
  </property>
  <property fmtid="{D5CDD505-2E9C-101B-9397-08002B2CF9AE}" pid="8" name="MSIP_Label_0c07ed86-5dc5-4593-ad03-a8684b843815_ContentBits">
    <vt:lpwstr>0</vt:lpwstr>
  </property>
  <property fmtid="{D5CDD505-2E9C-101B-9397-08002B2CF9AE}" pid="9" name="MSIP_Label_0c07ed86-5dc5-4593-ad03-a8684b843815_Tag">
    <vt:lpwstr>10, 3, 0, 1</vt:lpwstr>
  </property>
</Properties>
</file>