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ata2\fin\DATA\GR\SDR Method of Valuation and Misc\2021 SDR Review\5. Transition\1. Illustrative Currency Amounts\Publications of ICA\CA 07.15.2022\"/>
    </mc:Choice>
  </mc:AlternateContent>
  <xr:revisionPtr revIDLastSave="0" documentId="14_{522EBB7B-8671-406B-9AFB-1272BAF82725}" xr6:coauthVersionLast="47" xr6:coauthVersionMax="47" xr10:uidLastSave="{00000000-0000-0000-0000-000000000000}"/>
  <bookViews>
    <workbookView xWindow="28690" yWindow="-110" windowWidth="29020" windowHeight="15820" tabRatio="798" xr2:uid="{00000000-000D-0000-FFFF-FFFF00000000}"/>
  </bookViews>
  <sheets>
    <sheet name="Read me" sheetId="2" r:id="rId1"/>
    <sheet name="Inputs (Edit)" sheetId="1" r:id="rId2"/>
    <sheet name="DO NOT EDIT &gt;&gt;" sheetId="10" r:id="rId3"/>
    <sheet name="Calculation + Rounding " sheetId="3" r:id="rId4"/>
    <sheet name="Output (CA)" sheetId="4" r:id="rId5"/>
    <sheet name="FX (Transition)_old" sheetId="9" state="hidden" r:id="rId6"/>
  </sheets>
  <definedNames>
    <definedName name="Chart">"Chart"</definedName>
    <definedName name="Heatmap">"Heatmap"</definedName>
    <definedName name="Histogram">"Histogram"</definedName>
    <definedName name="Map">"Map"</definedName>
    <definedName name="PieChart">"PieChart"</definedName>
    <definedName name="_xlnm.Print_Area" localSheetId="0">'Read me'!$AI$1:$AP$20</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6" i="1" l="1"/>
  <c r="M107" i="1" s="1"/>
  <c r="M108" i="1" s="1"/>
  <c r="M109" i="1" s="1"/>
  <c r="M110" i="1" s="1"/>
  <c r="M111" i="1" s="1"/>
  <c r="M112" i="1" s="1"/>
  <c r="M113" i="1" s="1"/>
  <c r="M71" i="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6" i="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5" i="1"/>
  <c r="B27" i="1"/>
  <c r="B28" i="1" s="1"/>
  <c r="E22" i="1" l="1"/>
  <c r="J27" i="1" l="1"/>
  <c r="B29" i="1" l="1"/>
  <c r="B30" i="1" l="1"/>
  <c r="B31" i="1" l="1"/>
  <c r="B32" i="1" s="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l="1"/>
  <c r="B63" i="1" l="1"/>
  <c r="B64" i="1" l="1"/>
  <c r="B65" i="1" l="1"/>
  <c r="B66" i="1" l="1"/>
  <c r="B67" i="1" l="1"/>
  <c r="B68" i="1" l="1"/>
  <c r="B69" i="1" l="1"/>
  <c r="B70" i="1" l="1"/>
  <c r="B71" i="1" l="1"/>
  <c r="B72" i="1" l="1"/>
  <c r="B73" i="1" l="1"/>
  <c r="B74" i="1" l="1"/>
  <c r="B75" i="1" l="1"/>
  <c r="B76" i="1" l="1"/>
  <c r="B77" i="1" l="1"/>
  <c r="B78" i="1" l="1"/>
  <c r="B79" i="1" l="1"/>
  <c r="I4" i="3"/>
  <c r="B80" i="1" l="1"/>
  <c r="B81" i="1" l="1"/>
  <c r="J4" i="3"/>
  <c r="B82" i="1" l="1"/>
  <c r="F5" i="3"/>
  <c r="B83" i="1" l="1"/>
  <c r="K28" i="3"/>
  <c r="J28" i="3"/>
  <c r="I28" i="3"/>
  <c r="G28" i="3"/>
  <c r="F28" i="3"/>
  <c r="E28" i="3"/>
  <c r="D28" i="3"/>
  <c r="B84" i="1" l="1"/>
  <c r="I24" i="1"/>
  <c r="B85" i="1" l="1"/>
  <c r="G24" i="1"/>
  <c r="B86" i="1" l="1"/>
  <c r="G3" i="3"/>
  <c r="K16" i="3"/>
  <c r="J16" i="3"/>
  <c r="I16" i="3"/>
  <c r="G16" i="3"/>
  <c r="F16" i="3"/>
  <c r="E16" i="3"/>
  <c r="D16" i="3"/>
  <c r="K4" i="3"/>
  <c r="G9" i="3"/>
  <c r="G8" i="3"/>
  <c r="G7" i="3"/>
  <c r="G6" i="3"/>
  <c r="G5" i="3"/>
  <c r="I10" i="3"/>
  <c r="G4" i="3"/>
  <c r="F4" i="3"/>
  <c r="E4" i="3"/>
  <c r="D4" i="3"/>
  <c r="D6" i="3"/>
  <c r="D7" i="3"/>
  <c r="D8" i="3"/>
  <c r="D9" i="3"/>
  <c r="D5" i="3"/>
  <c r="B87" i="1" l="1"/>
  <c r="C87" i="1" l="1"/>
  <c r="B88" i="1"/>
  <c r="J87" i="1" s="1"/>
  <c r="B89" i="1" l="1"/>
  <c r="C88" i="1"/>
  <c r="B90" i="1" l="1"/>
  <c r="J88" i="1"/>
  <c r="C89" i="1"/>
  <c r="B91" i="1" l="1"/>
  <c r="J89" i="1"/>
  <c r="C90" i="1"/>
  <c r="J90" i="1" l="1"/>
  <c r="B92" i="1"/>
  <c r="C92" i="1"/>
  <c r="D91" i="1"/>
  <c r="C91" i="1"/>
  <c r="E91" i="1"/>
  <c r="F91" i="1"/>
  <c r="G91" i="1" s="1"/>
  <c r="H91" i="1"/>
  <c r="I91" i="1" s="1"/>
  <c r="J91" i="1" l="1"/>
  <c r="J92" i="1"/>
  <c r="D92" i="1"/>
  <c r="H86" i="1"/>
  <c r="I86" i="1" s="1"/>
  <c r="H88" i="1"/>
  <c r="I88" i="1" s="1"/>
  <c r="E89" i="1"/>
  <c r="E90" i="1"/>
  <c r="C25" i="1"/>
  <c r="E5" i="3" s="1"/>
  <c r="I5" i="3" s="1"/>
  <c r="J5" i="3" s="1"/>
  <c r="H89" i="1" l="1"/>
  <c r="I89" i="1" s="1"/>
  <c r="F88" i="1"/>
  <c r="G88" i="1" s="1"/>
  <c r="F89" i="1"/>
  <c r="G89" i="1" s="1"/>
  <c r="F86" i="1"/>
  <c r="G86" i="1" s="1"/>
  <c r="F87" i="1"/>
  <c r="G87" i="1" s="1"/>
  <c r="H87" i="1"/>
  <c r="I87" i="1" s="1"/>
  <c r="D90" i="1"/>
  <c r="D89" i="1"/>
  <c r="D87" i="1"/>
  <c r="E88" i="1"/>
  <c r="F90" i="1"/>
  <c r="G90" i="1" s="1"/>
  <c r="D88" i="1"/>
  <c r="H90" i="1"/>
  <c r="I90" i="1" s="1"/>
  <c r="D86" i="1"/>
  <c r="E92" i="1"/>
  <c r="H92" i="1"/>
  <c r="I92" i="1" s="1"/>
  <c r="F92" i="1"/>
  <c r="G92" i="1" s="1"/>
  <c r="H59" i="1" l="1"/>
  <c r="I59" i="1" s="1"/>
  <c r="E59" i="1"/>
  <c r="D59" i="1"/>
  <c r="F59" i="1"/>
  <c r="G59" i="1" s="1"/>
  <c r="H58" i="1"/>
  <c r="I58" i="1" s="1"/>
  <c r="D63" i="1"/>
  <c r="H61" i="1"/>
  <c r="I61" i="1" s="1"/>
  <c r="E62" i="1"/>
  <c r="H60" i="1"/>
  <c r="I60" i="1" s="1"/>
  <c r="F58" i="1"/>
  <c r="G58" i="1" s="1"/>
  <c r="F57" i="1"/>
  <c r="G57" i="1" s="1"/>
  <c r="E61" i="1"/>
  <c r="H57" i="1"/>
  <c r="I57" i="1" s="1"/>
  <c r="E60" i="1"/>
  <c r="D57" i="1"/>
  <c r="E57" i="1"/>
  <c r="D61" i="1"/>
  <c r="E58" i="1"/>
  <c r="F60" i="1"/>
  <c r="G60" i="1" s="1"/>
  <c r="F61" i="1"/>
  <c r="G61" i="1" s="1"/>
  <c r="D56" i="1"/>
  <c r="D58" i="1"/>
  <c r="D55" i="1"/>
  <c r="F62" i="1"/>
  <c r="G62" i="1" s="1"/>
  <c r="D60" i="1"/>
  <c r="F63" i="1"/>
  <c r="G63" i="1" s="1"/>
  <c r="H56" i="1"/>
  <c r="I56" i="1" s="1"/>
  <c r="H62" i="1"/>
  <c r="I62" i="1" s="1"/>
  <c r="D62" i="1"/>
  <c r="F56" i="1"/>
  <c r="G56" i="1" s="1"/>
  <c r="H63" i="1"/>
  <c r="I63" i="1" s="1"/>
  <c r="H64" i="1"/>
  <c r="I64" i="1" s="1"/>
  <c r="E55" i="1"/>
  <c r="D64" i="1"/>
  <c r="D65" i="1"/>
  <c r="F64" i="1"/>
  <c r="G64" i="1" s="1"/>
  <c r="E56" i="1"/>
  <c r="E63" i="1"/>
  <c r="E66" i="1"/>
  <c r="E64" i="1"/>
  <c r="H55" i="1"/>
  <c r="I55" i="1" s="1"/>
  <c r="E65" i="1"/>
  <c r="F55" i="1"/>
  <c r="G55" i="1" s="1"/>
  <c r="D68" i="1"/>
  <c r="F67" i="1"/>
  <c r="G67" i="1" s="1"/>
  <c r="D67" i="1"/>
  <c r="E67" i="1"/>
  <c r="F66" i="1"/>
  <c r="G66" i="1" s="1"/>
  <c r="H66" i="1"/>
  <c r="I66" i="1" s="1"/>
  <c r="D66" i="1"/>
  <c r="F65" i="1"/>
  <c r="G65" i="1" s="1"/>
  <c r="H68" i="1"/>
  <c r="I68" i="1" s="1"/>
  <c r="H65" i="1"/>
  <c r="I65" i="1" s="1"/>
  <c r="E68" i="1"/>
  <c r="E69" i="1"/>
  <c r="D69" i="1"/>
  <c r="H70" i="1"/>
  <c r="I70" i="1" s="1"/>
  <c r="F68" i="1"/>
  <c r="G68" i="1" s="1"/>
  <c r="E71" i="1"/>
  <c r="H67" i="1"/>
  <c r="I67" i="1" s="1"/>
  <c r="F69" i="1"/>
  <c r="G69" i="1" s="1"/>
  <c r="D70" i="1"/>
  <c r="H69" i="1"/>
  <c r="I69" i="1" s="1"/>
  <c r="F70" i="1"/>
  <c r="G70" i="1" s="1"/>
  <c r="H71" i="1"/>
  <c r="I71" i="1" s="1"/>
  <c r="E70" i="1"/>
  <c r="D71" i="1"/>
  <c r="F72" i="1"/>
  <c r="G72" i="1" s="1"/>
  <c r="H72" i="1"/>
  <c r="I72" i="1" s="1"/>
  <c r="E72" i="1"/>
  <c r="F71" i="1"/>
  <c r="G71" i="1" s="1"/>
  <c r="F73" i="1"/>
  <c r="G73" i="1" s="1"/>
  <c r="D72" i="1"/>
  <c r="H73" i="1"/>
  <c r="I73" i="1" s="1"/>
  <c r="H74" i="1"/>
  <c r="I74" i="1" s="1"/>
  <c r="E73" i="1"/>
  <c r="D73" i="1"/>
  <c r="D74" i="1"/>
  <c r="F74" i="1"/>
  <c r="G74" i="1" s="1"/>
  <c r="F75" i="1"/>
  <c r="G75" i="1" s="1"/>
  <c r="E74" i="1"/>
  <c r="H77" i="1"/>
  <c r="I77" i="1" s="1"/>
  <c r="E75" i="1"/>
  <c r="E76" i="1"/>
  <c r="H76" i="1"/>
  <c r="I76" i="1" s="1"/>
  <c r="D75" i="1"/>
  <c r="H75" i="1"/>
  <c r="I75" i="1" s="1"/>
  <c r="D76" i="1"/>
  <c r="D77" i="1"/>
  <c r="E77" i="1"/>
  <c r="H78" i="1"/>
  <c r="I78" i="1" s="1"/>
  <c r="F77" i="1"/>
  <c r="G77" i="1" s="1"/>
  <c r="F76" i="1"/>
  <c r="G76" i="1" s="1"/>
  <c r="F78" i="1"/>
  <c r="G78" i="1" s="1"/>
  <c r="F79" i="1"/>
  <c r="G79" i="1" s="1"/>
  <c r="D78" i="1"/>
  <c r="E78" i="1"/>
  <c r="E79" i="1"/>
  <c r="D79" i="1"/>
  <c r="H80" i="1"/>
  <c r="I80" i="1" s="1"/>
  <c r="H79" i="1"/>
  <c r="I79" i="1" s="1"/>
  <c r="E80" i="1"/>
  <c r="D81" i="1"/>
  <c r="E81" i="1"/>
  <c r="D80" i="1"/>
  <c r="D82" i="1"/>
  <c r="F80" i="1"/>
  <c r="G80" i="1" s="1"/>
  <c r="F81" i="1"/>
  <c r="G81" i="1" s="1"/>
  <c r="H82" i="1"/>
  <c r="I82" i="1" s="1"/>
  <c r="F82" i="1"/>
  <c r="G82" i="1" s="1"/>
  <c r="H81" i="1"/>
  <c r="I81" i="1" s="1"/>
  <c r="E82" i="1"/>
  <c r="F83" i="1"/>
  <c r="G83" i="1" s="1"/>
  <c r="E84" i="1"/>
  <c r="H83" i="1"/>
  <c r="I83" i="1" s="1"/>
  <c r="F84" i="1"/>
  <c r="G84" i="1" s="1"/>
  <c r="H84" i="1"/>
  <c r="I84" i="1" s="1"/>
  <c r="E83" i="1"/>
  <c r="D83" i="1"/>
  <c r="D84" i="1"/>
  <c r="D85" i="1"/>
  <c r="E85" i="1"/>
  <c r="F85" i="1"/>
  <c r="G85" i="1" s="1"/>
  <c r="E87" i="1"/>
  <c r="E86" i="1"/>
  <c r="H85" i="1"/>
  <c r="I85" i="1" s="1"/>
  <c r="F28" i="1"/>
  <c r="G28" i="1" s="1"/>
  <c r="E30" i="1"/>
  <c r="H28" i="1"/>
  <c r="I28" i="1" s="1"/>
  <c r="D28" i="1"/>
  <c r="E28" i="1"/>
  <c r="F30" i="1"/>
  <c r="G30" i="1" s="1"/>
  <c r="D27" i="1"/>
  <c r="H30" i="1"/>
  <c r="I30" i="1" s="1"/>
  <c r="E29" i="1"/>
  <c r="F29" i="1"/>
  <c r="G29" i="1" s="1"/>
  <c r="H27" i="1"/>
  <c r="I27" i="1" s="1"/>
  <c r="E27" i="1"/>
  <c r="D29" i="1"/>
  <c r="H29" i="1"/>
  <c r="I29" i="1" s="1"/>
  <c r="D30" i="1"/>
  <c r="F27" i="1"/>
  <c r="G27" i="1" s="1"/>
  <c r="D31" i="1"/>
  <c r="E31" i="1"/>
  <c r="H31" i="1"/>
  <c r="I31" i="1" s="1"/>
  <c r="F31" i="1"/>
  <c r="G31" i="1" s="1"/>
  <c r="H32" i="1"/>
  <c r="I32" i="1" s="1"/>
  <c r="F32" i="1"/>
  <c r="G32" i="1" s="1"/>
  <c r="E32" i="1"/>
  <c r="D32" i="1"/>
  <c r="F34" i="1"/>
  <c r="G34" i="1" s="1"/>
  <c r="F33" i="1"/>
  <c r="G33" i="1" s="1"/>
  <c r="D33" i="1"/>
  <c r="E33" i="1"/>
  <c r="H33" i="1"/>
  <c r="I33" i="1" s="1"/>
  <c r="H34" i="1"/>
  <c r="I34" i="1" s="1"/>
  <c r="D34" i="1"/>
  <c r="E34" i="1"/>
  <c r="D35" i="1"/>
  <c r="F35" i="1"/>
  <c r="G35" i="1" s="1"/>
  <c r="E35" i="1"/>
  <c r="H35" i="1"/>
  <c r="I35" i="1" s="1"/>
  <c r="D36" i="1"/>
  <c r="F36" i="1"/>
  <c r="G36" i="1" s="1"/>
  <c r="H36" i="1"/>
  <c r="I36" i="1" s="1"/>
  <c r="E36" i="1"/>
  <c r="D37" i="1"/>
  <c r="H37" i="1"/>
  <c r="I37" i="1" s="1"/>
  <c r="F37" i="1"/>
  <c r="G37" i="1" s="1"/>
  <c r="E37" i="1"/>
  <c r="E38" i="1"/>
  <c r="F38" i="1"/>
  <c r="G38" i="1" s="1"/>
  <c r="H38" i="1"/>
  <c r="I38" i="1" s="1"/>
  <c r="D38" i="1"/>
  <c r="F39" i="1"/>
  <c r="G39" i="1" s="1"/>
  <c r="D39" i="1"/>
  <c r="E39" i="1"/>
  <c r="H39" i="1"/>
  <c r="I39" i="1" s="1"/>
  <c r="E40" i="1"/>
  <c r="D40" i="1"/>
  <c r="F40" i="1"/>
  <c r="G40" i="1" s="1"/>
  <c r="H40" i="1"/>
  <c r="I40" i="1" s="1"/>
  <c r="E41" i="1"/>
  <c r="D41" i="1"/>
  <c r="H41" i="1"/>
  <c r="I41" i="1" s="1"/>
  <c r="F41" i="1"/>
  <c r="G41" i="1" s="1"/>
  <c r="F42" i="1"/>
  <c r="G42" i="1" s="1"/>
  <c r="H42" i="1"/>
  <c r="I42" i="1" s="1"/>
  <c r="E42" i="1"/>
  <c r="D42" i="1"/>
  <c r="D44" i="1"/>
  <c r="D43" i="1"/>
  <c r="F44" i="1"/>
  <c r="G44" i="1" s="1"/>
  <c r="F43" i="1"/>
  <c r="G43" i="1" s="1"/>
  <c r="H44" i="1"/>
  <c r="I44" i="1" s="1"/>
  <c r="E43" i="1"/>
  <c r="H43" i="1"/>
  <c r="I43" i="1" s="1"/>
  <c r="E44" i="1"/>
  <c r="D45" i="1"/>
  <c r="H45" i="1"/>
  <c r="I45" i="1" s="1"/>
  <c r="F45" i="1"/>
  <c r="G45" i="1" s="1"/>
  <c r="H46" i="1"/>
  <c r="I46" i="1" s="1"/>
  <c r="E45" i="1"/>
  <c r="D46" i="1"/>
  <c r="E46" i="1"/>
  <c r="F46" i="1"/>
  <c r="G46" i="1" s="1"/>
  <c r="E47" i="1"/>
  <c r="F47" i="1"/>
  <c r="G47" i="1" s="1"/>
  <c r="H47" i="1"/>
  <c r="I47" i="1" s="1"/>
  <c r="D47" i="1"/>
  <c r="F48" i="1"/>
  <c r="G48" i="1" s="1"/>
  <c r="D48" i="1"/>
  <c r="H48" i="1"/>
  <c r="I48" i="1" s="1"/>
  <c r="E48" i="1"/>
  <c r="E50" i="1"/>
  <c r="E49" i="1"/>
  <c r="D50" i="1"/>
  <c r="D49" i="1"/>
  <c r="H49" i="1"/>
  <c r="I49" i="1" s="1"/>
  <c r="F50" i="1"/>
  <c r="G50" i="1" s="1"/>
  <c r="H50" i="1"/>
  <c r="I50" i="1" s="1"/>
  <c r="F49" i="1"/>
  <c r="G49" i="1" s="1"/>
  <c r="D51" i="1"/>
  <c r="E51" i="1"/>
  <c r="E52" i="1"/>
  <c r="H52" i="1"/>
  <c r="I52" i="1" s="1"/>
  <c r="F51" i="1"/>
  <c r="G51" i="1" s="1"/>
  <c r="D52" i="1"/>
  <c r="F52" i="1"/>
  <c r="G52" i="1" s="1"/>
  <c r="H51" i="1"/>
  <c r="I51" i="1" s="1"/>
  <c r="F54" i="1"/>
  <c r="G54" i="1" s="1"/>
  <c r="D54" i="1"/>
  <c r="H53" i="1"/>
  <c r="I53" i="1" s="1"/>
  <c r="H54" i="1"/>
  <c r="I54" i="1" s="1"/>
  <c r="E54" i="1"/>
  <c r="F53" i="1"/>
  <c r="G53" i="1" s="1"/>
  <c r="D53" i="1"/>
  <c r="E53" i="1"/>
  <c r="F8" i="3" l="1"/>
  <c r="G26" i="1"/>
  <c r="G25" i="1"/>
  <c r="E8" i="3" s="1"/>
  <c r="I8" i="3" s="1"/>
  <c r="F7" i="3"/>
  <c r="E26" i="1"/>
  <c r="E25" i="1"/>
  <c r="E7" i="3" s="1"/>
  <c r="I7" i="3" s="1"/>
  <c r="F9" i="3"/>
  <c r="I26" i="1"/>
  <c r="I25" i="1"/>
  <c r="E9" i="3" s="1"/>
  <c r="I9" i="3" s="1"/>
  <c r="F6" i="3"/>
  <c r="D25" i="1"/>
  <c r="E6" i="3" s="1"/>
  <c r="I6" i="3" s="1"/>
  <c r="D26" i="1"/>
  <c r="J8" i="3" l="1"/>
  <c r="J6" i="3"/>
  <c r="J9" i="3"/>
  <c r="J26" i="1"/>
  <c r="I4" i="1" s="1"/>
  <c r="J7" i="3"/>
  <c r="J10" i="3" l="1"/>
  <c r="K5" i="3" s="1"/>
  <c r="K7" i="3" l="1"/>
  <c r="L7" i="3" s="1"/>
  <c r="K9" i="3"/>
  <c r="L9" i="3" s="1"/>
  <c r="K8" i="3"/>
  <c r="L8" i="3" s="1"/>
  <c r="K6" i="3"/>
  <c r="D18" i="3" s="1"/>
  <c r="E18" i="3" s="1"/>
  <c r="F18" i="3" s="1"/>
  <c r="D17" i="3"/>
  <c r="E17" i="3" s="1"/>
  <c r="F17" i="3" s="1"/>
  <c r="L5" i="3"/>
  <c r="D19" i="3" l="1"/>
  <c r="E19" i="3" s="1"/>
  <c r="F19" i="3" s="1"/>
  <c r="D20" i="3"/>
  <c r="E20" i="3" s="1"/>
  <c r="F20" i="3" s="1"/>
  <c r="L6" i="3"/>
  <c r="D21" i="3"/>
  <c r="E21" i="3" s="1"/>
  <c r="F21" i="3" s="1"/>
  <c r="F22" i="3" l="1"/>
  <c r="F23" i="3" s="1"/>
  <c r="F24" i="3" s="1"/>
  <c r="G17" i="3" l="1"/>
  <c r="G22" i="3" s="1"/>
  <c r="G23" i="3" s="1"/>
  <c r="I17" i="3" s="1"/>
  <c r="J17" i="3" s="1"/>
  <c r="D29" i="3" l="1"/>
  <c r="F34" i="3"/>
  <c r="G29" i="3" s="1"/>
  <c r="I32" i="3" s="1"/>
  <c r="E30" i="3"/>
  <c r="F30" i="3" s="1"/>
  <c r="I18" i="3"/>
  <c r="K18" i="3" s="1"/>
  <c r="I20" i="3"/>
  <c r="K20" i="3" s="1"/>
  <c r="E29" i="3"/>
  <c r="F29" i="3" s="1"/>
  <c r="D30" i="3"/>
  <c r="I19" i="3"/>
  <c r="K19" i="3" s="1"/>
  <c r="E32" i="3"/>
  <c r="F32" i="3" s="1"/>
  <c r="E33" i="3"/>
  <c r="F33" i="3" s="1"/>
  <c r="I21" i="3"/>
  <c r="K21" i="3" s="1"/>
  <c r="D32" i="3"/>
  <c r="D33" i="3"/>
  <c r="F35" i="3"/>
  <c r="F36" i="3"/>
  <c r="D31" i="3"/>
  <c r="E31" i="3" s="1"/>
  <c r="F31" i="3" s="1"/>
  <c r="K17" i="3"/>
  <c r="K30" i="3" l="1"/>
  <c r="I33" i="3"/>
  <c r="I31" i="3"/>
  <c r="K22" i="3"/>
  <c r="K23" i="3" s="1"/>
  <c r="M23" i="3" s="1"/>
  <c r="E7" i="4" s="1"/>
  <c r="J29" i="3"/>
  <c r="K33" i="3"/>
  <c r="K31" i="3"/>
  <c r="K32" i="3"/>
  <c r="K29" i="3"/>
  <c r="K34" i="3" s="1"/>
  <c r="K35" i="3" s="1"/>
  <c r="I29" i="3"/>
  <c r="I30" i="3"/>
  <c r="E10" i="4" l="1"/>
  <c r="E9" i="4"/>
  <c r="E8" i="4"/>
  <c r="E6" i="4"/>
  <c r="E2" i="4"/>
</calcChain>
</file>

<file path=xl/sharedStrings.xml><?xml version="1.0" encoding="utf-8"?>
<sst xmlns="http://schemas.openxmlformats.org/spreadsheetml/2006/main" count="121" uniqueCount="76">
  <si>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</si>
  <si>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</si>
  <si>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</si>
  <si>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</si>
  <si>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</si>
  <si>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</si>
  <si>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</si>
  <si>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</si>
  <si>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</si>
  <si>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</si>
  <si>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</si>
  <si>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</si>
  <si>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</si>
  <si>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</si>
  <si>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</si>
  <si>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</si>
  <si>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</si>
  <si>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</si>
  <si>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</si>
  <si>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</si>
  <si>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</si>
  <si>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</si>
  <si>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</si>
  <si>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</si>
  <si>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</si>
  <si>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</si>
  <si>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</si>
  <si>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</si>
  <si>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</si>
  <si>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</si>
  <si>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</si>
  <si>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</si>
  <si>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</si>
  <si>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</si>
  <si>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</si>
  <si>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</si>
  <si>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</si>
  <si>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</si>
  <si>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</si>
  <si>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</si>
  <si>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</si>
  <si>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</si>
  <si>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</si>
  <si>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</si>
  <si>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</si>
  <si>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</si>
  <si>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Transition Day</t>
  </si>
  <si>
    <t>IMF Holiday</t>
  </si>
  <si>
    <t>BOE Holiday</t>
  </si>
  <si>
    <t>Weekend</t>
  </si>
  <si>
    <t>For Documentation Purposes</t>
  </si>
  <si>
    <t>CNH</t>
  </si>
  <si>
    <t>JPY</t>
  </si>
  <si>
    <t>GBP</t>
  </si>
  <si>
    <t>EUR</t>
  </si>
  <si>
    <t>FX Rates for Transition</t>
  </si>
  <si>
    <t>Timeline</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</si>
  <si>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</si>
  <si>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</si>
  <si>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</si>
  <si>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User Input - EDIT</t>
  </si>
  <si>
    <t>Notes</t>
  </si>
  <si>
    <t>BEX Start Date</t>
  </si>
  <si>
    <t>Calculation/Fixed Input - DO NOT EDIT</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</si>
  <si>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</si>
  <si>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</si>
  <si>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t>This checks whether any of the unrounded CA is below 0.01. In which case, the IMF will adjust the formula in the next weekly update to ensure appropriate display of the number of sig. digs.</t>
  </si>
  <si>
    <t>Except as indicated below, FX rates are London Noon Quotes ("LNQ") provided by the Bank of England ("BOE"). On BOE holidays, rates are provided by Federal Reserve Bank of New York ("NY Fed"). If not available there, the rates shall be obtained from the European Central Bank ("ECB").
Note: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</si>
  <si>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Insert FX Rates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</si>
  <si>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the last row of columns B to I captures the FX rates as of the start of the transition date in cell E22.
    e.  Check that the FX rates for all currencies have the same number of observations.</t>
    </r>
  </si>
  <si>
    <t>Please do not extend the formulas horizontally</t>
  </si>
  <si>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Populate the "Inputs (Edit)" sheet with the following:</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July 29th, 2022.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(columns N:Q):</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</si>
  <si>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17247-(22/44), adopted on May 11, 2022.</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</si>
  <si>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</si>
  <si>
    <r>
      <rPr>
        <b/>
        <sz val="11"/>
        <color theme="1"/>
        <rFont val="Segoe UI"/>
        <family val="2"/>
      </rP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</si>
  <si>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The adopted weights can be found in the "Review of the Method of Valuation of the SDR - Revised Proposed Decision," Decision No. 17247-(22/44), adopted on May 11,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</si>
</sst>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0.00000000"/>
  </numFmts>
  <fonts count="48" x14ac:knownFonts="1">
    <font>
      <sz val="11"/>
      <color theme="1"/>
      <name val="Calibri"/>
      <family val="2"/>
      <scheme val="minor"/>
    </font>
    <font>
      <sz val="10"/>
      <color theme="1"/>
      <name val="Arial"/>
      <family val="2"/>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
      <sz val="9"/>
      <color rgb="FF000000"/>
      <name val="Segoe UI"/>
      <family val="2"/>
    </font>
    <font>
      <sz val="10"/>
      <name val="Arial"/>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4" fillId="0" borderId="0"/>
    <xf numFmtId="0" fontId="19" fillId="0" borderId="0" applyNumberFormat="0" applyFill="0" applyBorder="0" applyAlignment="0" applyProtection="0"/>
    <xf numFmtId="43" fontId="20" fillId="0" borderId="0" applyFont="0" applyFill="0" applyBorder="0" applyAlignment="0" applyProtection="0"/>
    <xf numFmtId="0" fontId="1" fillId="0" borderId="0"/>
  </cellStyleXfs>
  <cellXfs count="361">
    <xf numFmtId="0" fontId="0" fillId="0" borderId="0" xfId="0"/>
    <xf numFmtId="0" fontId="3" fillId="0" borderId="0" xfId="0" applyFont="1" applyFill="1" applyBorder="1" applyAlignment="1">
      <alignment vertical="center"/>
    </xf>
    <xf numFmtId="0" fontId="4" fillId="0" borderId="0" xfId="0" applyFont="1" applyBorder="1"/>
    <xf numFmtId="0" fontId="4" fillId="0" borderId="1" xfId="0" applyFont="1" applyBorder="1" applyAlignment="1"/>
    <xf numFmtId="0" fontId="2" fillId="0" borderId="0" xfId="0" applyFo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center"/>
    </xf>
    <xf numFmtId="0" fontId="4" fillId="0" borderId="0" xfId="0" applyFont="1" applyBorder="1" applyAlignment="1">
      <alignment wrapText="1"/>
    </xf>
    <xf numFmtId="0" fontId="4" fillId="0" borderId="0" xfId="0" applyFont="1" applyBorder="1" applyAlignment="1"/>
    <xf numFmtId="0" fontId="4" fillId="0" borderId="2" xfId="0" applyFont="1" applyBorder="1"/>
    <xf numFmtId="0" fontId="4" fillId="0" borderId="0" xfId="0" applyFont="1" applyFill="1" applyBorder="1"/>
    <xf numFmtId="14" fontId="4" fillId="0" borderId="0" xfId="0" applyNumberFormat="1" applyFont="1" applyFill="1" applyBorder="1"/>
    <xf numFmtId="164" fontId="4" fillId="0" borderId="0" xfId="0" applyNumberFormat="1" applyFont="1" applyBorder="1"/>
    <xf numFmtId="0" fontId="4" fillId="0" borderId="1" xfId="0" applyFont="1" applyFill="1" applyBorder="1"/>
    <xf numFmtId="0" fontId="4" fillId="0" borderId="1" xfId="0" applyFont="1" applyBorder="1"/>
    <xf numFmtId="0" fontId="4" fillId="0" borderId="3" xfId="0" applyFont="1" applyBorder="1"/>
    <xf numFmtId="0" fontId="4" fillId="0" borderId="5" xfId="0" applyFont="1" applyBorder="1"/>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Fill="1" applyBorder="1"/>
    <xf numFmtId="0" fontId="4" fillId="0" borderId="9" xfId="0" applyFont="1" applyFill="1" applyBorder="1"/>
    <xf numFmtId="0" fontId="7" fillId="0" borderId="0" xfId="0" applyFont="1" applyFill="1" applyBorder="1" applyAlignment="1">
      <alignment horizontal="right" indent="1"/>
    </xf>
    <xf numFmtId="14" fontId="7" fillId="0" borderId="10" xfId="0" applyNumberFormat="1" applyFont="1" applyFill="1" applyBorder="1" applyAlignment="1">
      <alignment horizontal="center"/>
    </xf>
    <xf numFmtId="0" fontId="4" fillId="0" borderId="10" xfId="0" applyFont="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xf>
    <xf numFmtId="0" fontId="2" fillId="0" borderId="8" xfId="0" applyFont="1" applyBorder="1" applyAlignment="1">
      <alignment horizontal="center"/>
    </xf>
    <xf numFmtId="0" fontId="12" fillId="0" borderId="0" xfId="0" applyFont="1" applyFill="1" applyAlignment="1">
      <alignment vertical="center" wrapText="1"/>
    </xf>
    <xf numFmtId="0" fontId="2" fillId="0" borderId="0" xfId="0" applyFont="1" applyAlignment="1">
      <alignment horizontal="right"/>
    </xf>
    <xf numFmtId="0" fontId="2" fillId="0" borderId="12" xfId="0" applyFont="1" applyBorder="1" applyAlignment="1">
      <alignment horizontal="center" vertical="center"/>
    </xf>
    <xf numFmtId="0" fontId="2" fillId="5" borderId="7" xfId="0"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9" xfId="0" applyFont="1" applyBorder="1" applyAlignment="1">
      <alignment horizontal="center" vertical="center"/>
    </xf>
    <xf numFmtId="0" fontId="2" fillId="5" borderId="5"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right"/>
    </xf>
    <xf numFmtId="0" fontId="2" fillId="0" borderId="3" xfId="0" applyFont="1" applyFill="1" applyBorder="1"/>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xf numFmtId="0" fontId="2" fillId="0" borderId="1" xfId="0" applyFont="1" applyFill="1" applyBorder="1"/>
    <xf numFmtId="0" fontId="2" fillId="5" borderId="0" xfId="0" applyFont="1" applyFill="1" applyBorder="1" applyAlignment="1">
      <alignment horizontal="center"/>
    </xf>
    <xf numFmtId="0" fontId="2" fillId="5" borderId="4" xfId="0" applyFont="1" applyFill="1" applyBorder="1" applyAlignment="1">
      <alignment horizontal="center"/>
    </xf>
    <xf numFmtId="0" fontId="2" fillId="5" borderId="1" xfId="0" applyFont="1" applyFill="1" applyBorder="1" applyAlignment="1">
      <alignment horizontal="center"/>
    </xf>
    <xf numFmtId="0" fontId="2" fillId="5" borderId="5" xfId="0" applyFont="1" applyFill="1" applyBorder="1" applyAlignment="1">
      <alignment horizontal="center"/>
    </xf>
    <xf numFmtId="0" fontId="2" fillId="0" borderId="12" xfId="0" applyFont="1" applyBorder="1"/>
    <xf numFmtId="0" fontId="2" fillId="0" borderId="3" xfId="0" applyFont="1" applyBorder="1"/>
    <xf numFmtId="0" fontId="2" fillId="0" borderId="7" xfId="0" applyFont="1" applyBorder="1"/>
    <xf numFmtId="0" fontId="2" fillId="0" borderId="4" xfId="0" applyFont="1" applyBorder="1"/>
    <xf numFmtId="0" fontId="2" fillId="0" borderId="0" xfId="0" applyFont="1" applyBorder="1" applyAlignment="1">
      <alignment horizontal="left" indent="1"/>
    </xf>
    <xf numFmtId="0" fontId="2" fillId="0" borderId="9" xfId="0" applyFont="1" applyBorder="1"/>
    <xf numFmtId="0" fontId="2" fillId="0" borderId="5" xfId="0" applyFont="1" applyBorder="1"/>
    <xf numFmtId="0" fontId="2" fillId="0" borderId="1" xfId="0" applyFont="1" applyBorder="1" applyAlignment="1">
      <alignment horizontal="right" indent="2"/>
    </xf>
    <xf numFmtId="0" fontId="13" fillId="0" borderId="2" xfId="0" applyFont="1" applyFill="1" applyBorder="1" applyAlignment="1">
      <alignment horizontal="center"/>
    </xf>
    <xf numFmtId="0" fontId="2" fillId="0" borderId="3" xfId="0" applyFont="1" applyBorder="1" applyAlignment="1">
      <alignment horizontal="right" indent="2"/>
    </xf>
    <xf numFmtId="0" fontId="9" fillId="7" borderId="0" xfId="0" applyFont="1" applyFill="1" applyBorder="1"/>
    <xf numFmtId="0" fontId="9" fillId="7" borderId="0" xfId="0" applyFont="1" applyFill="1" applyBorder="1" applyAlignment="1">
      <alignment horizontal="center"/>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171" fontId="2" fillId="5" borderId="0" xfId="0" applyNumberFormat="1" applyFont="1" applyFill="1" applyBorder="1" applyAlignment="1">
      <alignment horizontal="center"/>
    </xf>
    <xf numFmtId="171" fontId="2" fillId="5" borderId="1" xfId="0" applyNumberFormat="1" applyFont="1" applyFill="1" applyBorder="1" applyAlignment="1">
      <alignment horizontal="center"/>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172" fontId="2" fillId="0" borderId="10" xfId="0" applyNumberFormat="1" applyFont="1" applyFill="1" applyBorder="1" applyAlignment="1">
      <alignment horizontal="center"/>
    </xf>
    <xf numFmtId="172" fontId="2" fillId="0" borderId="9" xfId="0" applyNumberFormat="1" applyFont="1" applyFill="1" applyBorder="1" applyAlignment="1">
      <alignment horizontal="center"/>
    </xf>
    <xf numFmtId="0" fontId="2" fillId="0" borderId="0" xfId="0" applyFont="1" applyAlignment="1">
      <alignment horizontal="center"/>
    </xf>
    <xf numFmtId="0" fontId="0" fillId="0" borderId="0" xfId="0" applyBorder="1"/>
    <xf numFmtId="1" fontId="2" fillId="0" borderId="14" xfId="0" applyNumberFormat="1" applyFont="1" applyBorder="1"/>
    <xf numFmtId="1" fontId="2" fillId="0" borderId="8" xfId="0" applyNumberFormat="1" applyFont="1" applyBorder="1"/>
    <xf numFmtId="0" fontId="4" fillId="0" borderId="6" xfId="0" applyFont="1" applyBorder="1"/>
    <xf numFmtId="0" fontId="4" fillId="0" borderId="0" xfId="0" applyFont="1" applyBorder="1" applyAlignment="1">
      <alignment horizontal="left"/>
    </xf>
    <xf numFmtId="0" fontId="2" fillId="0" borderId="0" xfId="0" quotePrefix="1" applyFont="1" applyAlignment="1">
      <alignment wrapText="1"/>
    </xf>
    <xf numFmtId="0" fontId="2" fillId="0" borderId="5" xfId="0" applyFont="1" applyBorder="1" applyAlignment="1">
      <alignment horizontal="center"/>
    </xf>
    <xf numFmtId="168" fontId="2" fillId="0" borderId="0" xfId="0" applyNumberFormat="1" applyFont="1" applyAlignment="1">
      <alignment horizontal="center"/>
    </xf>
    <xf numFmtId="171" fontId="2" fillId="5" borderId="3" xfId="0" applyNumberFormat="1" applyFont="1" applyFill="1" applyBorder="1"/>
    <xf numFmtId="171" fontId="2" fillId="5" borderId="0" xfId="0" applyNumberFormat="1" applyFont="1" applyFill="1" applyBorder="1"/>
    <xf numFmtId="171" fontId="2" fillId="5" borderId="1" xfId="0" applyNumberFormat="1" applyFont="1" applyFill="1" applyBorder="1"/>
    <xf numFmtId="176" fontId="2" fillId="0" borderId="0" xfId="0" quotePrefix="1" applyNumberFormat="1" applyFont="1" applyFill="1" applyBorder="1" applyAlignment="1">
      <alignment horizontal="center"/>
    </xf>
    <xf numFmtId="0" fontId="2" fillId="0" borderId="0" xfId="0" applyFont="1" applyAlignment="1">
      <alignment horizontal="center"/>
    </xf>
    <xf numFmtId="0" fontId="10" fillId="0" borderId="0" xfId="0" applyFont="1" applyFill="1" applyAlignment="1">
      <alignment horizontal="center"/>
    </xf>
    <xf numFmtId="0" fontId="2" fillId="0" borderId="13" xfId="0" applyFont="1" applyBorder="1" applyAlignment="1">
      <alignment horizontal="center"/>
    </xf>
    <xf numFmtId="176" fontId="2" fillId="0" borderId="5" xfId="0" quotePrefix="1" applyNumberFormat="1" applyFont="1" applyFill="1" applyBorder="1" applyAlignment="1">
      <alignment horizontal="center"/>
    </xf>
    <xf numFmtId="0" fontId="2" fillId="0" borderId="0" xfId="0" applyFont="1" applyAlignment="1"/>
    <xf numFmtId="0" fontId="2" fillId="0" borderId="0" xfId="0" applyFont="1" applyFill="1" applyAlignment="1">
      <alignment horizontal="center"/>
    </xf>
    <xf numFmtId="167" fontId="2" fillId="0" borderId="12" xfId="0" applyNumberFormat="1" applyFont="1" applyFill="1" applyBorder="1"/>
    <xf numFmtId="174" fontId="2" fillId="0" borderId="13" xfId="0" applyNumberFormat="1" applyFont="1" applyBorder="1" applyAlignment="1">
      <alignment horizontal="center"/>
    </xf>
    <xf numFmtId="1" fontId="2" fillId="0" borderId="10" xfId="0" applyNumberFormat="1" applyFont="1" applyBorder="1"/>
    <xf numFmtId="174" fontId="2" fillId="0" borderId="14" xfId="0" applyNumberFormat="1" applyFont="1" applyBorder="1" applyAlignment="1">
      <alignment horizontal="center"/>
    </xf>
    <xf numFmtId="174" fontId="2" fillId="0" borderId="8" xfId="0" applyNumberFormat="1" applyFont="1" applyBorder="1" applyAlignment="1">
      <alignment horizontal="center"/>
    </xf>
    <xf numFmtId="0" fontId="2" fillId="0" borderId="10" xfId="0" applyFont="1" applyFill="1" applyBorder="1"/>
    <xf numFmtId="0" fontId="2" fillId="0" borderId="3" xfId="0" applyFont="1" applyBorder="1" applyAlignment="1">
      <alignment horizontal="center"/>
    </xf>
    <xf numFmtId="171" fontId="2" fillId="5" borderId="3" xfId="0" applyNumberFormat="1" applyFont="1" applyFill="1" applyBorder="1" applyAlignment="1">
      <alignment horizontal="center"/>
    </xf>
    <xf numFmtId="168" fontId="2" fillId="0" borderId="13" xfId="0" applyNumberFormat="1" applyFont="1" applyBorder="1" applyAlignment="1">
      <alignment horizontal="center"/>
    </xf>
    <xf numFmtId="1" fontId="2" fillId="0" borderId="13" xfId="0" applyNumberFormat="1" applyFont="1" applyBorder="1" applyAlignment="1">
      <alignment horizontal="center"/>
    </xf>
    <xf numFmtId="174" fontId="2" fillId="0" borderId="4" xfId="0" applyNumberFormat="1" applyFont="1" applyBorder="1" applyAlignment="1">
      <alignment horizontal="center"/>
    </xf>
    <xf numFmtId="1" fontId="2" fillId="0" borderId="12" xfId="0" applyNumberFormat="1" applyFont="1" applyBorder="1" applyAlignment="1">
      <alignment horizontal="center" vertical="center"/>
    </xf>
    <xf numFmtId="1" fontId="2" fillId="0" borderId="9" xfId="0" applyNumberFormat="1" applyFont="1" applyBorder="1"/>
    <xf numFmtId="1" fontId="7" fillId="0" borderId="0" xfId="0" applyNumberFormat="1" applyFont="1" applyFill="1" applyBorder="1" applyAlignment="1">
      <alignment horizontal="center"/>
    </xf>
    <xf numFmtId="0" fontId="4" fillId="0" borderId="0" xfId="0" applyFont="1" applyBorder="1" applyAlignment="1">
      <alignment horizontal="center"/>
    </xf>
    <xf numFmtId="14" fontId="7" fillId="0" borderId="11" xfId="0" applyNumberFormat="1" applyFont="1" applyFill="1" applyBorder="1" applyAlignment="1">
      <alignment horizontal="center"/>
    </xf>
    <xf numFmtId="1" fontId="7" fillId="5" borderId="2" xfId="0" applyNumberFormat="1" applyFont="1" applyFill="1" applyBorder="1" applyAlignment="1">
      <alignment horizontal="center"/>
    </xf>
    <xf numFmtId="0" fontId="9" fillId="8" borderId="0" xfId="0" applyFont="1" applyFill="1" applyAlignment="1">
      <alignment horizontal="center"/>
    </xf>
    <xf numFmtId="43" fontId="2" fillId="0" borderId="0" xfId="3" applyFont="1"/>
    <xf numFmtId="167" fontId="2" fillId="0" borderId="0" xfId="0" applyNumberFormat="1" applyFont="1" applyAlignment="1">
      <alignment horizontal="center"/>
    </xf>
    <xf numFmtId="0" fontId="8" fillId="0" borderId="3" xfId="0" applyFont="1" applyBorder="1"/>
    <xf numFmtId="176" fontId="2" fillId="0" borderId="0" xfId="0" applyNumberFormat="1" applyFont="1" applyBorder="1" applyAlignment="1">
      <alignment horizontal="right" indent="8"/>
    </xf>
    <xf numFmtId="2" fontId="2" fillId="6" borderId="14" xfId="0" applyNumberFormat="1" applyFont="1" applyFill="1" applyBorder="1" applyAlignment="1">
      <alignment horizontal="right" indent="3"/>
    </xf>
    <xf numFmtId="2" fontId="2" fillId="6" borderId="8" xfId="0" applyNumberFormat="1" applyFont="1" applyFill="1" applyBorder="1" applyAlignment="1">
      <alignment horizontal="right" indent="3"/>
    </xf>
    <xf numFmtId="2" fontId="2" fillId="6" borderId="12" xfId="0" applyNumberFormat="1" applyFont="1" applyFill="1" applyBorder="1" applyAlignment="1">
      <alignment horizontal="right" indent="3"/>
    </xf>
    <xf numFmtId="2" fontId="2" fillId="6" borderId="10" xfId="0" applyNumberFormat="1" applyFont="1" applyFill="1" applyBorder="1" applyAlignment="1">
      <alignment horizontal="right" indent="3"/>
    </xf>
    <xf numFmtId="168" fontId="2" fillId="0" borderId="13" xfId="0" applyNumberFormat="1" applyFont="1" applyFill="1" applyBorder="1" applyAlignment="1">
      <alignment vertical="center"/>
    </xf>
    <xf numFmtId="167" fontId="12" fillId="0" borderId="0" xfId="0" applyNumberFormat="1" applyFont="1" applyFill="1" applyBorder="1" applyAlignment="1">
      <alignment vertical="center"/>
    </xf>
    <xf numFmtId="1" fontId="12" fillId="0" borderId="0" xfId="0" applyNumberFormat="1" applyFont="1" applyFill="1" applyBorder="1" applyAlignment="1">
      <alignment vertical="center"/>
    </xf>
    <xf numFmtId="177" fontId="2" fillId="6" borderId="14" xfId="0" applyNumberFormat="1" applyFont="1" applyFill="1" applyBorder="1" applyAlignment="1">
      <alignment horizontal="right" indent="3"/>
    </xf>
    <xf numFmtId="0" fontId="2" fillId="5" borderId="14" xfId="0" applyFont="1" applyFill="1" applyBorder="1"/>
    <xf numFmtId="0" fontId="2" fillId="5" borderId="8" xfId="0" applyFont="1" applyFill="1" applyBorder="1"/>
    <xf numFmtId="0" fontId="26" fillId="0" borderId="0" xfId="0" applyFont="1" applyBorder="1" applyAlignment="1">
      <alignment horizontal="right"/>
    </xf>
    <xf numFmtId="173" fontId="7" fillId="5" borderId="2" xfId="0" applyNumberFormat="1" applyFont="1" applyFill="1" applyBorder="1" applyAlignment="1" applyProtection="1">
      <alignment horizontal="center" vertical="center"/>
    </xf>
    <xf numFmtId="172" fontId="7" fillId="5" borderId="6"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horizontal="center" vertical="center"/>
      <protection locked="0"/>
    </xf>
    <xf numFmtId="166" fontId="4" fillId="0" borderId="0" xfId="0" applyNumberFormat="1" applyFont="1" applyFill="1" applyBorder="1" applyAlignment="1" applyProtection="1">
      <alignment horizontal="center" vertical="center"/>
      <protection locked="0"/>
    </xf>
    <xf numFmtId="0" fontId="10" fillId="2" borderId="0" xfId="0" applyFont="1" applyFill="1" applyAlignment="1">
      <alignment horizontal="center"/>
    </xf>
    <xf numFmtId="1" fontId="7" fillId="0" borderId="2" xfId="0" applyNumberFormat="1" applyFont="1" applyFill="1" applyBorder="1" applyAlignment="1">
      <alignment horizontal="center"/>
    </xf>
    <xf numFmtId="178" fontId="4" fillId="5" borderId="0" xfId="0" applyNumberFormat="1" applyFont="1" applyFill="1" applyBorder="1" applyAlignment="1" applyProtection="1">
      <alignment horizontal="center" vertical="center"/>
    </xf>
    <xf numFmtId="176" fontId="2" fillId="0" borderId="0" xfId="0" applyNumberFormat="1" applyFont="1" applyAlignment="1">
      <alignment horizontal="center"/>
    </xf>
    <xf numFmtId="0" fontId="4" fillId="0" borderId="0" xfId="0" applyFont="1" applyAlignment="1">
      <alignment vertical="top" wrapText="1"/>
    </xf>
    <xf numFmtId="1" fontId="6" fillId="0" borderId="0" xfId="0" applyNumberFormat="1" applyFont="1" applyFill="1" applyBorder="1" applyAlignment="1" applyProtection="1">
      <alignment horizontal="center" vertical="center" wrapText="1"/>
      <protection locked="0"/>
    </xf>
    <xf numFmtId="178" fontId="4" fillId="0" borderId="0" xfId="0" applyNumberFormat="1" applyFont="1" applyFill="1" applyBorder="1" applyAlignment="1" applyProtection="1">
      <alignment horizontal="center" vertical="center"/>
    </xf>
    <xf numFmtId="175" fontId="4" fillId="0" borderId="0" xfId="0" applyNumberFormat="1" applyFont="1" applyFill="1" applyBorder="1" applyAlignment="1" applyProtection="1">
      <alignment horizontal="center" vertical="center"/>
    </xf>
    <xf numFmtId="14" fontId="4" fillId="0" borderId="0" xfId="0" applyNumberFormat="1" applyFont="1" applyFill="1" applyBorder="1" applyProtection="1">
      <protection locked="0"/>
    </xf>
    <xf numFmtId="14" fontId="4" fillId="0" borderId="9" xfId="0" applyNumberFormat="1" applyFont="1" applyFill="1" applyBorder="1" applyProtection="1">
      <protection locked="0"/>
    </xf>
    <xf numFmtId="1" fontId="6" fillId="0" borderId="1"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protection locked="0"/>
    </xf>
    <xf numFmtId="166" fontId="4" fillId="0" borderId="1" xfId="0" applyNumberFormat="1" applyFont="1" applyFill="1" applyBorder="1" applyAlignment="1" applyProtection="1">
      <alignment horizontal="center" vertical="center"/>
      <protection locked="0"/>
    </xf>
    <xf numFmtId="178" fontId="4" fillId="0" borderId="1" xfId="0" applyNumberFormat="1" applyFont="1" applyFill="1" applyBorder="1" applyAlignment="1" applyProtection="1">
      <alignment horizontal="center" vertical="center"/>
    </xf>
    <xf numFmtId="175" fontId="4" fillId="0" borderId="5" xfId="0" applyNumberFormat="1" applyFont="1" applyFill="1" applyBorder="1" applyAlignment="1" applyProtection="1">
      <alignment horizontal="center" vertical="center"/>
    </xf>
    <xf numFmtId="0" fontId="5" fillId="0" borderId="0" xfId="0" applyFont="1"/>
    <xf numFmtId="0" fontId="5" fillId="0" borderId="0" xfId="0" applyFont="1" applyAlignment="1">
      <alignment horizontal="right"/>
    </xf>
    <xf numFmtId="0" fontId="16" fillId="4" borderId="0" xfId="0" applyFont="1" applyFill="1" applyAlignment="1" applyProtection="1">
      <alignment horizontal="right"/>
      <protection locked="0"/>
    </xf>
    <xf numFmtId="14" fontId="5" fillId="4" borderId="0" xfId="0" applyNumberFormat="1" applyFont="1" applyFill="1"/>
    <xf numFmtId="0" fontId="16" fillId="4" borderId="0" xfId="0" applyFont="1" applyFill="1" applyAlignment="1">
      <alignment horizontal="right"/>
    </xf>
    <xf numFmtId="0" fontId="5" fillId="0" borderId="0" xfId="0" applyFont="1" applyProtection="1">
      <protection locked="0"/>
    </xf>
    <xf numFmtId="14" fontId="5" fillId="0" borderId="0" xfId="0" applyNumberFormat="1" applyFont="1"/>
    <xf numFmtId="0" fontId="5" fillId="5" borderId="0" xfId="0" applyFont="1" applyFill="1" applyProtection="1"/>
    <xf numFmtId="14" fontId="5" fillId="5" borderId="0" xfId="0" applyNumberFormat="1" applyFont="1" applyFill="1" applyProtection="1"/>
    <xf numFmtId="0" fontId="5" fillId="10" borderId="0" xfId="0" applyFont="1" applyFill="1" applyProtection="1">
      <protection locked="0"/>
    </xf>
    <xf numFmtId="14" fontId="5" fillId="10" borderId="0" xfId="0" applyNumberFormat="1" applyFont="1" applyFill="1"/>
    <xf numFmtId="0" fontId="16" fillId="11" borderId="0" xfId="0" applyFont="1" applyFill="1" applyAlignment="1">
      <alignment horizontal="right"/>
    </xf>
    <xf numFmtId="0" fontId="5" fillId="6" borderId="0" xfId="0" applyFont="1" applyFill="1" applyProtection="1">
      <protection locked="0"/>
    </xf>
    <xf numFmtId="14" fontId="5" fillId="6" borderId="0" xfId="0" applyNumberFormat="1" applyFont="1" applyFill="1"/>
    <xf numFmtId="0" fontId="16" fillId="6" borderId="0" xfId="0" applyFont="1" applyFill="1" applyAlignment="1">
      <alignment horizontal="right"/>
    </xf>
    <xf numFmtId="0" fontId="5" fillId="0" borderId="5" xfId="0" applyFont="1" applyBorder="1"/>
    <xf numFmtId="0" fontId="5" fillId="0" borderId="1" xfId="0" applyFont="1" applyBorder="1"/>
    <xf numFmtId="0" fontId="5" fillId="4" borderId="1" xfId="0" applyFont="1" applyFill="1" applyBorder="1"/>
    <xf numFmtId="0" fontId="5" fillId="0" borderId="9" xfId="0" applyFont="1" applyBorder="1"/>
    <xf numFmtId="0" fontId="5" fillId="0" borderId="4" xfId="0" applyFont="1" applyBorder="1"/>
    <xf numFmtId="0" fontId="5" fillId="0" borderId="0" xfId="0" applyFont="1" applyBorder="1"/>
    <xf numFmtId="0" fontId="5" fillId="5" borderId="0" xfId="0" applyFont="1" applyFill="1" applyBorder="1"/>
    <xf numFmtId="0" fontId="5" fillId="0" borderId="10" xfId="0" applyFont="1" applyBorder="1"/>
    <xf numFmtId="0" fontId="5" fillId="6" borderId="0" xfId="0" applyFont="1" applyFill="1" applyBorder="1"/>
    <xf numFmtId="0" fontId="5" fillId="10" borderId="0" xfId="0" applyFont="1" applyFill="1" applyBorder="1"/>
    <xf numFmtId="0" fontId="5" fillId="0" borderId="4" xfId="0" applyFont="1" applyFill="1" applyBorder="1"/>
    <xf numFmtId="0" fontId="5" fillId="0" borderId="0" xfId="0" applyFont="1" applyFill="1" applyBorder="1"/>
    <xf numFmtId="0" fontId="5" fillId="0" borderId="0" xfId="0" applyFont="1" applyFill="1"/>
    <xf numFmtId="0" fontId="15" fillId="0" borderId="0" xfId="0" applyFont="1" applyBorder="1"/>
    <xf numFmtId="0" fontId="5" fillId="12" borderId="0" xfId="0" applyFont="1" applyFill="1" applyProtection="1">
      <protection locked="0"/>
    </xf>
    <xf numFmtId="0" fontId="5" fillId="0" borderId="0" xfId="0" applyFont="1" applyFill="1" applyProtection="1">
      <protection locked="0"/>
    </xf>
    <xf numFmtId="14" fontId="5" fillId="0" borderId="0" xfId="0" applyNumberFormat="1" applyFont="1" applyProtection="1">
      <protection locked="0"/>
    </xf>
    <xf numFmtId="0" fontId="5" fillId="9" borderId="0" xfId="0" applyFont="1" applyFill="1" applyAlignment="1" applyProtection="1">
      <alignment horizontal="center"/>
      <protection locked="0"/>
    </xf>
    <xf numFmtId="0" fontId="5" fillId="9" borderId="0" xfId="0" applyFont="1" applyFill="1" applyBorder="1" applyAlignment="1" applyProtection="1">
      <alignment horizontal="right"/>
      <protection locked="0"/>
    </xf>
    <xf numFmtId="14" fontId="5" fillId="9" borderId="0" xfId="0" applyNumberFormat="1" applyFont="1" applyFill="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xf>
    <xf numFmtId="0" fontId="15" fillId="0" borderId="0" xfId="0" applyFont="1"/>
    <xf numFmtId="0" fontId="5" fillId="0" borderId="1" xfId="0" applyFont="1" applyBorder="1" applyAlignment="1">
      <alignment horizontal="right"/>
    </xf>
    <xf numFmtId="14" fontId="7" fillId="0" borderId="11" xfId="0" applyNumberFormat="1" applyFont="1" applyFill="1" applyBorder="1" applyProtection="1"/>
    <xf numFmtId="1" fontId="11" fillId="5" borderId="2" xfId="0" applyNumberFormat="1" applyFont="1" applyFill="1" applyBorder="1" applyAlignment="1" applyProtection="1">
      <alignment horizontal="center" vertical="center" wrapText="1"/>
    </xf>
    <xf numFmtId="14" fontId="4" fillId="0" borderId="10" xfId="0" applyNumberFormat="1" applyFont="1" applyFill="1" applyBorder="1" applyProtection="1"/>
    <xf numFmtId="165" fontId="4" fillId="5" borderId="0" xfId="0" applyNumberFormat="1" applyFont="1" applyFill="1" applyBorder="1" applyAlignment="1" applyProtection="1">
      <alignment horizontal="center" vertical="center"/>
    </xf>
    <xf numFmtId="2" fontId="4" fillId="5" borderId="0" xfId="0" applyNumberFormat="1" applyFont="1" applyFill="1" applyBorder="1" applyAlignment="1" applyProtection="1">
      <alignment horizontal="center" vertical="center"/>
    </xf>
    <xf numFmtId="1" fontId="6" fillId="5" borderId="0" xfId="0" applyNumberFormat="1" applyFont="1" applyFill="1" applyBorder="1" applyAlignment="1" applyProtection="1">
      <alignment horizontal="center" vertical="center" wrapText="1"/>
    </xf>
    <xf numFmtId="170" fontId="7" fillId="5" borderId="2" xfId="0" applyNumberFormat="1" applyFont="1" applyFill="1" applyBorder="1" applyAlignment="1" applyProtection="1">
      <alignment horizontal="center"/>
      <protection locked="0"/>
    </xf>
    <xf numFmtId="169" fontId="7" fillId="5" borderId="2" xfId="0" applyNumberFormat="1" applyFont="1" applyFill="1" applyBorder="1" applyAlignment="1" applyProtection="1">
      <alignment horizontal="center"/>
      <protection locked="0"/>
    </xf>
    <xf numFmtId="173" fontId="7" fillId="5" borderId="2" xfId="0" applyNumberFormat="1" applyFont="1" applyFill="1" applyBorder="1" applyAlignment="1" applyProtection="1">
      <alignment horizontal="center"/>
      <protection locked="0"/>
    </xf>
    <xf numFmtId="172" fontId="7" fillId="5" borderId="6" xfId="0" applyNumberFormat="1" applyFont="1" applyFill="1" applyBorder="1" applyAlignment="1" applyProtection="1">
      <alignment horizontal="center"/>
      <protection locked="0"/>
    </xf>
    <xf numFmtId="165" fontId="33" fillId="5" borderId="1" xfId="0" applyNumberFormat="1" applyFont="1" applyFill="1" applyBorder="1" applyAlignment="1" applyProtection="1">
      <alignment horizontal="center" vertical="center"/>
    </xf>
    <xf numFmtId="2" fontId="33" fillId="5" borderId="1" xfId="0" applyNumberFormat="1" applyFont="1" applyFill="1" applyBorder="1" applyAlignment="1" applyProtection="1">
      <alignment horizontal="center" vertical="center"/>
    </xf>
    <xf numFmtId="0" fontId="15" fillId="0" borderId="0" xfId="0" applyFont="1" applyBorder="1" applyAlignment="1">
      <alignment vertical="top" wrapText="1"/>
    </xf>
    <xf numFmtId="165" fontId="7" fillId="5" borderId="2" xfId="0" applyNumberFormat="1" applyFont="1" applyFill="1" applyBorder="1" applyAlignment="1" applyProtection="1">
      <alignment horizontal="center" vertical="center"/>
    </xf>
    <xf numFmtId="0" fontId="33" fillId="0" borderId="12" xfId="0" applyFont="1" applyBorder="1"/>
    <xf numFmtId="0" fontId="41" fillId="0" borderId="3" xfId="0" applyFont="1" applyBorder="1"/>
    <xf numFmtId="0" fontId="41" fillId="0" borderId="7" xfId="0" applyFont="1" applyBorder="1"/>
    <xf numFmtId="0" fontId="41" fillId="0" borderId="10" xfId="0" applyFont="1" applyFill="1" applyBorder="1"/>
    <xf numFmtId="0" fontId="41" fillId="0" borderId="0" xfId="0" applyFont="1" applyBorder="1"/>
    <xf numFmtId="0" fontId="41" fillId="0" borderId="4" xfId="0" applyFont="1" applyBorder="1"/>
    <xf numFmtId="0" fontId="41" fillId="3" borderId="10" xfId="0" applyFont="1" applyFill="1" applyBorder="1"/>
    <xf numFmtId="0" fontId="41" fillId="13" borderId="9" xfId="0" applyFont="1" applyFill="1" applyBorder="1"/>
    <xf numFmtId="0" fontId="41" fillId="0" borderId="1" xfId="0" applyFont="1" applyBorder="1"/>
    <xf numFmtId="0" fontId="41" fillId="0" borderId="5" xfId="0" applyFont="1" applyBorder="1"/>
    <xf numFmtId="0" fontId="43" fillId="13" borderId="0" xfId="0" applyFont="1" applyFill="1" applyBorder="1" applyAlignment="1">
      <alignment horizontal="right" indent="1"/>
    </xf>
    <xf numFmtId="0" fontId="4" fillId="0" borderId="9" xfId="0" applyFont="1" applyFill="1" applyBorder="1" applyAlignment="1">
      <alignment horizontal="center"/>
    </xf>
    <xf numFmtId="0" fontId="4" fillId="13" borderId="0" xfId="0" applyFont="1" applyFill="1" applyBorder="1" applyAlignment="1">
      <alignment horizontal="center"/>
    </xf>
    <xf numFmtId="0" fontId="4" fillId="13" borderId="10" xfId="0" applyFont="1" applyFill="1" applyBorder="1"/>
    <xf numFmtId="164" fontId="4" fillId="13" borderId="10" xfId="0" applyNumberFormat="1" applyFont="1" applyFill="1" applyBorder="1"/>
    <xf numFmtId="0" fontId="41" fillId="13" borderId="0" xfId="0" applyFont="1" applyFill="1" applyBorder="1" applyAlignment="1">
      <alignment horizontal="center"/>
    </xf>
    <xf numFmtId="0" fontId="4"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1" fillId="14" borderId="10" xfId="0" applyFont="1" applyFill="1" applyBorder="1"/>
    <xf numFmtId="0" fontId="0" fillId="6" borderId="0" xfId="0" applyFill="1"/>
    <xf numFmtId="0" fontId="19" fillId="0" borderId="8" xfId="2" applyBorder="1" applyAlignment="1">
      <alignment horizontal="center"/>
    </xf>
    <xf numFmtId="14" fontId="4" fillId="3" borderId="1" xfId="0" applyNumberFormat="1" applyFont="1" applyFill="1" applyBorder="1" applyAlignment="1">
      <alignment horizontal="center"/>
    </xf>
    <xf numFmtId="14" fontId="4" fillId="0" borderId="12" xfId="0" applyNumberFormat="1" applyFont="1" applyFill="1" applyBorder="1" applyProtection="1"/>
    <xf numFmtId="1" fontId="11" fillId="5" borderId="3" xfId="0" applyNumberFormat="1" applyFont="1" applyFill="1" applyBorder="1" applyAlignment="1" applyProtection="1">
      <alignment horizontal="center" vertical="center" wrapText="1"/>
    </xf>
    <xf numFmtId="165" fontId="4" fillId="5" borderId="3" xfId="0" applyNumberFormat="1" applyFont="1" applyFill="1" applyBorder="1" applyAlignment="1" applyProtection="1">
      <alignment horizontal="center" vertical="center"/>
    </xf>
    <xf numFmtId="2" fontId="4" fillId="5" borderId="3" xfId="0" applyNumberFormat="1" applyFont="1" applyFill="1" applyBorder="1" applyAlignment="1" applyProtection="1">
      <alignment horizontal="center" vertical="center"/>
    </xf>
    <xf numFmtId="178" fontId="4" fillId="5" borderId="3" xfId="0" applyNumberFormat="1" applyFont="1" applyFill="1" applyBorder="1" applyAlignment="1" applyProtection="1">
      <alignment horizontal="center" vertical="center"/>
    </xf>
    <xf numFmtId="175" fontId="4" fillId="5" borderId="7" xfId="0" applyNumberFormat="1" applyFont="1" applyFill="1" applyBorder="1" applyAlignment="1" applyProtection="1">
      <alignment horizontal="center" vertical="center"/>
    </xf>
    <xf numFmtId="175" fontId="4" fillId="5" borderId="4" xfId="0" applyNumberFormat="1" applyFont="1" applyFill="1" applyBorder="1" applyAlignment="1" applyProtection="1">
      <alignment horizontal="center" vertical="center"/>
    </xf>
    <xf numFmtId="0" fontId="5" fillId="0" borderId="0" xfId="0" applyFont="1" applyAlignment="1" applyProtection="1">
      <alignment horizontal="right"/>
      <protection locked="0"/>
    </xf>
    <xf numFmtId="165" fontId="5" fillId="0" borderId="0" xfId="0" applyNumberFormat="1" applyFont="1" applyFill="1" applyAlignment="1" applyProtection="1">
      <alignment horizontal="right"/>
      <protection locked="0"/>
    </xf>
    <xf numFmtId="0" fontId="5" fillId="5" borderId="0" xfId="0" applyFont="1" applyFill="1" applyProtection="1"/>
    <xf numFmtId="0" fontId="5" fillId="10" borderId="0" xfId="0" applyFont="1" applyFill="1" applyProtection="1">
      <protection locked="0"/>
    </xf>
    <xf numFmtId="0" fontId="5" fillId="0" borderId="0" xfId="0" applyFont="1" applyProtection="1">
      <protection locked="0"/>
    </xf>
    <xf numFmtId="165" fontId="5" fillId="0" borderId="0" xfId="0" applyNumberFormat="1" applyFont="1" applyProtection="1">
      <protection locked="0"/>
    </xf>
    <xf numFmtId="0" fontId="5" fillId="12" borderId="0" xfId="0" applyFont="1" applyFill="1" applyProtection="1">
      <protection locked="0"/>
    </xf>
    <xf numFmtId="2" fontId="5" fillId="0" borderId="0" xfId="0" applyNumberFormat="1" applyFont="1" applyProtection="1">
      <protection locked="0"/>
    </xf>
    <xf numFmtId="165" fontId="5" fillId="5" borderId="0" xfId="0" applyNumberFormat="1" applyFont="1" applyFill="1" applyProtection="1"/>
    <xf numFmtId="165" fontId="5" fillId="6" borderId="0" xfId="0" applyNumberFormat="1" applyFont="1" applyFill="1" applyProtection="1">
      <protection locked="0"/>
    </xf>
    <xf numFmtId="165" fontId="5" fillId="10" borderId="0" xfId="0" applyNumberFormat="1" applyFont="1" applyFill="1" applyProtection="1">
      <protection locked="0"/>
    </xf>
    <xf numFmtId="2" fontId="5" fillId="5" borderId="0" xfId="0" applyNumberFormat="1" applyFont="1" applyFill="1" applyProtection="1"/>
    <xf numFmtId="2" fontId="5" fillId="6" borderId="0" xfId="0" applyNumberFormat="1" applyFont="1" applyFill="1" applyProtection="1">
      <protection locked="0"/>
    </xf>
    <xf numFmtId="2" fontId="5" fillId="10" borderId="0" xfId="0" applyNumberFormat="1" applyFont="1" applyFill="1" applyProtection="1">
      <protection locked="0"/>
    </xf>
    <xf numFmtId="165" fontId="7" fillId="0" borderId="2" xfId="0" applyNumberFormat="1" applyFont="1" applyFill="1" applyBorder="1" applyAlignment="1" applyProtection="1">
      <alignment horizontal="center"/>
      <protection locked="0"/>
    </xf>
    <xf numFmtId="2" fontId="7" fillId="0" borderId="2" xfId="0" applyNumberFormat="1" applyFont="1" applyFill="1" applyBorder="1" applyAlignment="1" applyProtection="1">
      <alignment horizontal="center"/>
      <protection locked="0"/>
    </xf>
    <xf numFmtId="165" fontId="5" fillId="0" borderId="0" xfId="0" applyNumberFormat="1" applyFont="1" applyFill="1" applyProtection="1">
      <protection locked="0"/>
    </xf>
    <xf numFmtId="2" fontId="5" fillId="0" borderId="0" xfId="0" applyNumberFormat="1" applyFont="1" applyFill="1" applyProtection="1">
      <protection locked="0"/>
    </xf>
    <xf numFmtId="165" fontId="5" fillId="4" borderId="0" xfId="0" applyNumberFormat="1" applyFont="1" applyFill="1" applyProtection="1">
      <protection locked="0"/>
    </xf>
    <xf numFmtId="2" fontId="5" fillId="4" borderId="0" xfId="0" applyNumberFormat="1" applyFont="1" applyFill="1" applyProtection="1">
      <protection locked="0"/>
    </xf>
    <xf numFmtId="165" fontId="4" fillId="0" borderId="0" xfId="0" applyNumberFormat="1" applyFont="1" applyFill="1" applyBorder="1" applyProtection="1">
      <protection locked="0"/>
    </xf>
    <xf numFmtId="2" fontId="4" fillId="3" borderId="3" xfId="0" applyNumberFormat="1" applyFont="1" applyFill="1" applyBorder="1" applyAlignment="1">
      <alignment horizontal="right" indent="3"/>
    </xf>
    <xf numFmtId="2" fontId="4" fillId="3" borderId="0" xfId="0" applyNumberFormat="1" applyFont="1" applyFill="1" applyBorder="1" applyAlignment="1">
      <alignment horizontal="right" indent="3"/>
    </xf>
    <xf numFmtId="2" fontId="4" fillId="3" borderId="1" xfId="0" applyNumberFormat="1" applyFont="1" applyFill="1" applyBorder="1" applyAlignment="1">
      <alignment horizontal="right" indent="3"/>
    </xf>
    <xf numFmtId="179" fontId="4" fillId="0" borderId="0" xfId="0" applyNumberFormat="1" applyFont="1" applyBorder="1"/>
    <xf numFmtId="0" fontId="46" fillId="0" borderId="0" xfId="0" applyFont="1"/>
    <xf numFmtId="165" fontId="4" fillId="0" borderId="0" xfId="0" applyNumberFormat="1" applyFont="1" applyBorder="1"/>
    <xf numFmtId="0" fontId="4" fillId="0" borderId="0" xfId="0" applyFont="1" applyFill="1" applyBorder="1" applyAlignment="1">
      <alignment horizontal="center"/>
    </xf>
    <xf numFmtId="165" fontId="4" fillId="14" borderId="0" xfId="0" applyNumberFormat="1" applyFont="1" applyFill="1" applyBorder="1" applyProtection="1">
      <protection locked="0"/>
    </xf>
    <xf numFmtId="165" fontId="4" fillId="14" borderId="4" xfId="0" applyNumberFormat="1" applyFont="1" applyFill="1" applyBorder="1" applyProtection="1">
      <protection locked="0"/>
    </xf>
    <xf numFmtId="165" fontId="4" fillId="14" borderId="1" xfId="0" applyNumberFormat="1" applyFont="1" applyFill="1" applyBorder="1" applyProtection="1">
      <protection locked="0"/>
    </xf>
    <xf numFmtId="165" fontId="4" fillId="14" borderId="5" xfId="0" applyNumberFormat="1" applyFont="1" applyFill="1" applyBorder="1" applyProtection="1">
      <protection locked="0"/>
    </xf>
    <xf numFmtId="14" fontId="4" fillId="0" borderId="3" xfId="0" applyNumberFormat="1" applyFont="1" applyFill="1" applyBorder="1"/>
    <xf numFmtId="14" fontId="4" fillId="12" borderId="10" xfId="0" applyNumberFormat="1" applyFont="1" applyFill="1" applyBorder="1"/>
    <xf numFmtId="0" fontId="4" fillId="12" borderId="11" xfId="0" applyFont="1" applyFill="1" applyBorder="1"/>
    <xf numFmtId="0" fontId="4" fillId="12" borderId="2" xfId="0" applyFont="1" applyFill="1" applyBorder="1" applyAlignment="1">
      <alignment horizontal="center" vertical="center"/>
    </xf>
    <xf numFmtId="0" fontId="4" fillId="12" borderId="6" xfId="0" applyFont="1" applyFill="1" applyBorder="1" applyAlignment="1">
      <alignment horizontal="center" vertical="center"/>
    </xf>
    <xf numFmtId="0" fontId="24" fillId="13" borderId="11" xfId="0" applyFont="1" applyFill="1" applyBorder="1" applyAlignment="1">
      <alignment horizontal="left" vertical="center" wrapText="1" indent="3"/>
    </xf>
    <xf numFmtId="0" fontId="24" fillId="13" borderId="2" xfId="0" applyFont="1" applyFill="1" applyBorder="1" applyAlignment="1">
      <alignment horizontal="left" vertical="center" indent="3"/>
    </xf>
    <xf numFmtId="0" fontId="24" fillId="13" borderId="6" xfId="0" applyFont="1" applyFill="1" applyBorder="1" applyAlignment="1">
      <alignment horizontal="left" vertical="center" indent="3"/>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15" fillId="0" borderId="12" xfId="0" applyFont="1" applyBorder="1" applyAlignment="1">
      <alignment horizontal="left" vertical="top"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45" fillId="12" borderId="1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4" xfId="0" applyFont="1" applyFill="1" applyBorder="1" applyAlignment="1">
      <alignment horizontal="center" vertical="center" wrapText="1"/>
    </xf>
    <xf numFmtId="0" fontId="43" fillId="13" borderId="0" xfId="0" applyFont="1" applyFill="1" applyBorder="1" applyAlignment="1">
      <alignment horizontal="center"/>
    </xf>
    <xf numFmtId="0" fontId="4" fillId="0" borderId="0" xfId="0" applyFont="1" applyBorder="1" applyAlignment="1">
      <alignment horizontal="center"/>
    </xf>
    <xf numFmtId="0" fontId="22" fillId="13" borderId="11" xfId="0" applyFont="1" applyFill="1" applyBorder="1" applyAlignment="1">
      <alignment horizontal="left" vertical="center" wrapText="1" indent="3"/>
    </xf>
    <xf numFmtId="0" fontId="22" fillId="13" borderId="2" xfId="0" applyFont="1" applyFill="1" applyBorder="1" applyAlignment="1">
      <alignment horizontal="left" vertical="center" indent="3"/>
    </xf>
    <xf numFmtId="0" fontId="22" fillId="13" borderId="6" xfId="0" applyFont="1" applyFill="1" applyBorder="1" applyAlignment="1">
      <alignment horizontal="left" vertical="center" indent="3"/>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indent="1"/>
    </xf>
    <xf numFmtId="0" fontId="4" fillId="0" borderId="7" xfId="0" applyFont="1" applyBorder="1" applyAlignment="1">
      <alignment horizontal="left" vertical="center" wrapText="1" indent="1"/>
    </xf>
    <xf numFmtId="0" fontId="4" fillId="0" borderId="5" xfId="0" applyFont="1" applyBorder="1" applyAlignment="1">
      <alignment horizontal="left" vertical="center" wrapText="1" indent="1"/>
    </xf>
    <xf numFmtId="0" fontId="42"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14" fontId="2" fillId="14" borderId="3" xfId="0" applyNumberFormat="1" applyFont="1" applyFill="1" applyBorder="1" applyAlignment="1" applyProtection="1">
      <alignment horizontal="center" vertical="center"/>
      <protection locked="0"/>
    </xf>
    <xf numFmtId="14" fontId="2" fillId="14" borderId="1" xfId="0" applyNumberFormat="1" applyFont="1" applyFill="1" applyBorder="1" applyAlignment="1" applyProtection="1">
      <alignment horizontal="center" vertical="center"/>
      <protection locked="0"/>
    </xf>
    <xf numFmtId="0" fontId="13" fillId="0" borderId="11" xfId="0" applyFont="1" applyFill="1" applyBorder="1" applyAlignment="1">
      <alignment horizontal="center"/>
    </xf>
    <xf numFmtId="0" fontId="13" fillId="0" borderId="2" xfId="0" applyFont="1" applyFill="1" applyBorder="1" applyAlignment="1">
      <alignment horizontal="center"/>
    </xf>
    <xf numFmtId="0" fontId="13" fillId="0" borderId="6" xfId="0" applyFont="1" applyFill="1" applyBorder="1" applyAlignment="1">
      <alignment horizontal="center"/>
    </xf>
    <xf numFmtId="0" fontId="42" fillId="13" borderId="10" xfId="0" applyFont="1" applyFill="1" applyBorder="1" applyAlignment="1">
      <alignment horizontal="center" vertical="center" wrapText="1"/>
    </xf>
    <xf numFmtId="0" fontId="4" fillId="0" borderId="3" xfId="0" applyFont="1" applyBorder="1" applyAlignment="1">
      <alignment horizontal="left" indent="7"/>
    </xf>
    <xf numFmtId="0" fontId="4" fillId="0" borderId="0" xfId="0" applyFont="1" applyBorder="1" applyAlignment="1">
      <alignment horizontal="left" indent="7"/>
    </xf>
    <xf numFmtId="0" fontId="4" fillId="0" borderId="1" xfId="0" applyFont="1" applyBorder="1" applyAlignment="1">
      <alignment horizontal="left" indent="7"/>
    </xf>
    <xf numFmtId="0" fontId="4" fillId="0" borderId="3"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 xfId="0" applyFont="1" applyBorder="1" applyAlignment="1">
      <alignment horizontal="left" vertical="center" wrapText="1" indent="1"/>
    </xf>
    <xf numFmtId="164" fontId="4" fillId="0" borderId="0" xfId="0" applyNumberFormat="1" applyFont="1" applyBorder="1" applyAlignment="1">
      <alignment horizontal="center" vertical="center" wrapText="1"/>
    </xf>
    <xf numFmtId="0" fontId="4" fillId="14" borderId="0"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2" fillId="13" borderId="11"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6" xfId="0" applyFont="1" applyFill="1" applyBorder="1" applyAlignment="1">
      <alignment horizontal="center" vertical="center" wrapText="1"/>
    </xf>
    <xf numFmtId="0" fontId="22" fillId="13" borderId="0" xfId="0" applyFont="1" applyFill="1" applyAlignment="1">
      <alignment horizontal="left" vertical="top" wrapText="1"/>
    </xf>
    <xf numFmtId="0" fontId="22" fillId="13" borderId="0" xfId="0" applyFont="1" applyFill="1" applyAlignment="1">
      <alignment horizontal="left" vertical="top"/>
    </xf>
    <xf numFmtId="0" fontId="2" fillId="0" borderId="0" xfId="0" applyFont="1" applyBorder="1" applyAlignment="1">
      <alignment horizontal="center" vertical="center" wrapText="1"/>
    </xf>
    <xf numFmtId="0" fontId="4" fillId="0" borderId="0" xfId="0" applyFont="1" applyAlignment="1">
      <alignment horizontal="left" vertical="top" wrapText="1"/>
    </xf>
    <xf numFmtId="0" fontId="13" fillId="13" borderId="13" xfId="0" applyFont="1" applyFill="1" applyBorder="1" applyAlignment="1">
      <alignment horizontal="left" vertical="top" wrapText="1" indent="3"/>
    </xf>
    <xf numFmtId="0" fontId="13" fillId="13" borderId="14" xfId="0" applyFont="1" applyFill="1" applyBorder="1" applyAlignment="1">
      <alignment horizontal="left" vertical="top" wrapText="1" indent="3"/>
    </xf>
    <xf numFmtId="0" fontId="13" fillId="13" borderId="8" xfId="0" applyFont="1" applyFill="1" applyBorder="1" applyAlignment="1">
      <alignment horizontal="left" vertical="top" wrapText="1" indent="3"/>
    </xf>
    <xf numFmtId="0" fontId="2" fillId="13" borderId="0" xfId="0" applyFont="1" applyFill="1" applyAlignment="1">
      <alignment horizontal="center" vertical="center" wrapText="1"/>
    </xf>
    <xf numFmtId="0" fontId="25" fillId="0" borderId="0" xfId="0" applyFont="1" applyFill="1" applyAlignment="1">
      <alignment horizontal="center" wrapText="1"/>
    </xf>
    <xf numFmtId="0" fontId="25" fillId="13" borderId="0" xfId="0" applyFont="1" applyFill="1" applyAlignment="1">
      <alignment horizontal="left" vertical="top" wrapText="1"/>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xf>
    <xf numFmtId="0" fontId="32" fillId="9" borderId="3" xfId="0" applyFont="1" applyFill="1" applyBorder="1" applyAlignment="1">
      <alignment horizontal="center" vertical="center" wrapText="1"/>
    </xf>
    <xf numFmtId="0" fontId="32" fillId="9" borderId="0" xfId="0" applyFont="1" applyFill="1" applyBorder="1" applyAlignment="1">
      <alignment horizontal="center" vertical="center" wrapText="1"/>
    </xf>
    <xf numFmtId="165" fontId="4" fillId="12" borderId="0" xfId="0" applyNumberFormat="1" applyFont="1" applyFill="1" applyBorder="1" applyProtection="1"/>
    <xf numFmtId="165" fontId="4" fillId="12" borderId="4" xfId="0" applyNumberFormat="1" applyFont="1" applyFill="1" applyBorder="1" applyProtection="1"/>
    <xf numFmtId="165" fontId="4" fillId="0" borderId="0" xfId="0" applyNumberFormat="1" applyFont="1" applyFill="1" applyBorder="1" applyProtection="1"/>
    <xf numFmtId="165" fontId="4" fillId="0" borderId="4" xfId="0" applyNumberFormat="1" applyFont="1" applyFill="1" applyBorder="1" applyProtection="1"/>
  </cellXfs>
  <cellStyles count="5">
    <cellStyle name="Comma" xfId="3" builtinId="3"/>
    <cellStyle name="Hyperlink" xfId="2" builtinId="8"/>
    <cellStyle name="Normal" xfId="0" builtinId="0"/>
    <cellStyle name="Normal 2" xfId="1" xr:uid="{00000000-0005-0000-0000-000003000000}"/>
    <cellStyle name="Normal 3" xfId="4" xr:uid="{47F02171-B44F-4BEE-A07F-30B606A6EFB0}"/>
  </cellStyles>
  <dxfs count="37">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30</xdr:row>
      <xdr:rowOff>185466</xdr:rowOff>
    </xdr:from>
    <xdr:ext cx="3784259" cy="20467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a:extLst>
            <a:ext uri="{FF2B5EF4-FFF2-40B4-BE49-F238E27FC236}">
              <a16:creationId xmlns:a16="http://schemas.microsoft.com/office/drawing/2014/main" id="{00000000-0008-0000-0000-00001A000000}"/>
            </a:ext>
          </a:extLst>
        </xdr:cNvPr>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a:extLst>
            <a:ext uri="{FF2B5EF4-FFF2-40B4-BE49-F238E27FC236}">
              <a16:creationId xmlns:a16="http://schemas.microsoft.com/office/drawing/2014/main" id="{00000000-0008-0000-0000-00001B000000}"/>
            </a:ext>
          </a:extLst>
        </xdr:cNvPr>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a:extLst>
            <a:ext uri="{FF2B5EF4-FFF2-40B4-BE49-F238E27FC236}">
              <a16:creationId xmlns:a16="http://schemas.microsoft.com/office/drawing/2014/main" id="{00000000-0008-0000-0000-00001D000000}"/>
            </a:ext>
          </a:extLst>
        </xdr:cNvPr>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a:extLst>
            <a:ext uri="{FF2B5EF4-FFF2-40B4-BE49-F238E27FC236}">
              <a16:creationId xmlns:a16="http://schemas.microsoft.com/office/drawing/2014/main" id="{00000000-0008-0000-0000-000026000000}"/>
            </a:ext>
          </a:extLst>
        </xdr:cNvPr>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a:extLst>
            <a:ext uri="{FF2B5EF4-FFF2-40B4-BE49-F238E27FC236}">
              <a16:creationId xmlns:a16="http://schemas.microsoft.com/office/drawing/2014/main" id="{00000000-0008-0000-0000-000028000000}"/>
            </a:ext>
          </a:extLst>
        </xdr:cNvPr>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a:extLst>
            <a:ext uri="{FF2B5EF4-FFF2-40B4-BE49-F238E27FC236}">
              <a16:creationId xmlns:a16="http://schemas.microsoft.com/office/drawing/2014/main" id="{00000000-0008-0000-0000-000029000000}"/>
            </a:ext>
          </a:extLst>
        </xdr:cNvPr>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a:extLst>
            <a:ext uri="{FF2B5EF4-FFF2-40B4-BE49-F238E27FC236}">
              <a16:creationId xmlns:a16="http://schemas.microsoft.com/office/drawing/2014/main" id="{00000000-0008-0000-0000-00002B000000}"/>
            </a:ext>
          </a:extLst>
        </xdr:cNvPr>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a:extLst>
            <a:ext uri="{FF2B5EF4-FFF2-40B4-BE49-F238E27FC236}">
              <a16:creationId xmlns:a16="http://schemas.microsoft.com/office/drawing/2014/main" id="{00000000-0008-0000-0000-00002E000000}"/>
            </a:ext>
          </a:extLst>
        </xdr:cNvPr>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a:extLst>
            <a:ext uri="{FF2B5EF4-FFF2-40B4-BE49-F238E27FC236}">
              <a16:creationId xmlns:a16="http://schemas.microsoft.com/office/drawing/2014/main" id="{00000000-0008-0000-0000-00002F000000}"/>
            </a:ext>
          </a:extLst>
        </xdr:cNvPr>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a:extLst>
            <a:ext uri="{FF2B5EF4-FFF2-40B4-BE49-F238E27FC236}">
              <a16:creationId xmlns:a16="http://schemas.microsoft.com/office/drawing/2014/main" id="{00000000-0008-0000-0000-000031000000}"/>
            </a:ext>
          </a:extLst>
        </xdr:cNvPr>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a:extLst>
            <a:ext uri="{FF2B5EF4-FFF2-40B4-BE49-F238E27FC236}">
              <a16:creationId xmlns:a16="http://schemas.microsoft.com/office/drawing/2014/main" id="{00000000-0008-0000-0000-000033000000}"/>
            </a:ext>
          </a:extLst>
        </xdr:cNvPr>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a:extLst>
            <a:ext uri="{FF2B5EF4-FFF2-40B4-BE49-F238E27FC236}">
              <a16:creationId xmlns:a16="http://schemas.microsoft.com/office/drawing/2014/main" id="{00000000-0008-0000-0000-000036000000}"/>
            </a:ext>
          </a:extLst>
        </xdr:cNvPr>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1079500</xdr:colOff>
      <xdr:row>2</xdr:row>
      <xdr:rowOff>12700</xdr:rowOff>
    </xdr:from>
    <xdr:to>
      <xdr:col>11</xdr:col>
      <xdr:colOff>1327728</xdr:colOff>
      <xdr:row>112</xdr:row>
      <xdr:rowOff>150813</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4676438" y="2973388"/>
          <a:ext cx="248228" cy="19751675"/>
        </a:xfrm>
        <a:prstGeom prst="downArrow">
          <a:avLst/>
        </a:prstGeom>
        <a:solidFill>
          <a:srgbClr val="99FF99"/>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a:extLst>
            <a:ext uri="{FF2B5EF4-FFF2-40B4-BE49-F238E27FC236}">
              <a16:creationId xmlns:a16="http://schemas.microsoft.com/office/drawing/2014/main" id="{00000000-0008-0000-0300-00000D000000}"/>
            </a:ext>
          </a:extLst>
        </xdr:cNvPr>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a:extLst>
            <a:ext uri="{FF2B5EF4-FFF2-40B4-BE49-F238E27FC236}">
              <a16:creationId xmlns:a16="http://schemas.microsoft.com/office/drawing/2014/main" id="{00000000-0008-0000-0400-000004000000}"/>
            </a:ext>
          </a:extLst>
        </xdr:cNvPr>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G53"/>
  <sheetViews>
    <sheetView showGridLines="0" tabSelected="1" zoomScaleNormal="100" workbookViewId="0">
      <selection sqref="A1:AA1"/>
    </sheetView>
  </sheetViews>
  <sheetFormatPr defaultRowHeight="14.5" x14ac:dyDescent="0.35"/>
  <cols>
    <col min="1" max="1" width="3.1796875" customWidth="1"/>
    <col min="7" max="7" width="11.81640625" customWidth="1"/>
    <col min="9" max="9" width="7.1796875" customWidth="1"/>
    <col min="10" max="10" width="11.81640625" customWidth="1"/>
    <col min="11" max="11" width="2" customWidth="1"/>
    <col min="21" max="21" width="2.54296875" customWidth="1"/>
  </cols>
  <sheetData>
    <row r="1" spans="1:32" ht="179.25" customHeight="1" x14ac:dyDescent="0.35">
      <c r="A1" s="276" t="s">
        <v>73</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8"/>
    </row>
    <row r="2" spans="1:32" ht="8.25" customHeight="1" x14ac:dyDescent="0.35"/>
    <row r="3" spans="1:32" ht="15" customHeight="1" x14ac:dyDescent="0.35">
      <c r="B3" s="279" t="s">
        <v>72</v>
      </c>
      <c r="C3" s="280"/>
      <c r="D3" s="280"/>
      <c r="E3" s="280"/>
      <c r="F3" s="280"/>
      <c r="G3" s="280"/>
      <c r="H3" s="280"/>
      <c r="I3" s="280"/>
      <c r="J3" s="281"/>
      <c r="L3" s="288" t="s">
        <v>71</v>
      </c>
      <c r="M3" s="289"/>
      <c r="N3" s="289"/>
      <c r="O3" s="289"/>
      <c r="P3" s="289"/>
      <c r="Q3" s="289"/>
      <c r="R3" s="289"/>
      <c r="S3" s="289"/>
      <c r="T3" s="290"/>
      <c r="V3" s="297" t="s">
        <v>42</v>
      </c>
      <c r="W3" s="298"/>
      <c r="X3" s="298"/>
      <c r="Y3" s="298"/>
      <c r="Z3" s="298"/>
      <c r="AA3" s="298"/>
      <c r="AB3" s="298"/>
      <c r="AC3" s="298"/>
      <c r="AD3" s="298"/>
      <c r="AE3" s="298"/>
      <c r="AF3" s="299"/>
    </row>
    <row r="4" spans="1:32" ht="15" customHeight="1" x14ac:dyDescent="0.35">
      <c r="B4" s="282"/>
      <c r="C4" s="283"/>
      <c r="D4" s="283"/>
      <c r="E4" s="283"/>
      <c r="F4" s="283"/>
      <c r="G4" s="283"/>
      <c r="H4" s="283"/>
      <c r="I4" s="283"/>
      <c r="J4" s="284"/>
      <c r="L4" s="291"/>
      <c r="M4" s="292"/>
      <c r="N4" s="292"/>
      <c r="O4" s="292"/>
      <c r="P4" s="292"/>
      <c r="Q4" s="292"/>
      <c r="R4" s="292"/>
      <c r="S4" s="292"/>
      <c r="T4" s="293"/>
      <c r="V4" s="300"/>
      <c r="W4" s="301"/>
      <c r="X4" s="301"/>
      <c r="Y4" s="301"/>
      <c r="Z4" s="301"/>
      <c r="AA4" s="301"/>
      <c r="AB4" s="301"/>
      <c r="AC4" s="301"/>
      <c r="AD4" s="301"/>
      <c r="AE4" s="301"/>
      <c r="AF4" s="302"/>
    </row>
    <row r="5" spans="1:32" ht="15" customHeight="1" x14ac:dyDescent="0.35">
      <c r="B5" s="282"/>
      <c r="C5" s="283"/>
      <c r="D5" s="283"/>
      <c r="E5" s="283"/>
      <c r="F5" s="283"/>
      <c r="G5" s="283"/>
      <c r="H5" s="283"/>
      <c r="I5" s="283"/>
      <c r="J5" s="284"/>
      <c r="L5" s="291"/>
      <c r="M5" s="292"/>
      <c r="N5" s="292"/>
      <c r="O5" s="292"/>
      <c r="P5" s="292"/>
      <c r="Q5" s="292"/>
      <c r="R5" s="292"/>
      <c r="S5" s="292"/>
      <c r="T5" s="293"/>
      <c r="V5" s="224"/>
      <c r="W5" s="83"/>
      <c r="X5" s="83"/>
      <c r="Y5" s="83"/>
      <c r="Z5" s="83"/>
      <c r="AA5" s="83"/>
      <c r="AB5" s="83"/>
      <c r="AC5" s="83"/>
      <c r="AD5" s="83"/>
      <c r="AE5" s="83"/>
      <c r="AF5" s="223"/>
    </row>
    <row r="6" spans="1:32" ht="15" customHeight="1" x14ac:dyDescent="0.35">
      <c r="B6" s="282"/>
      <c r="C6" s="283"/>
      <c r="D6" s="283"/>
      <c r="E6" s="283"/>
      <c r="F6" s="283"/>
      <c r="G6" s="283"/>
      <c r="H6" s="283"/>
      <c r="I6" s="283"/>
      <c r="J6" s="284"/>
      <c r="L6" s="291"/>
      <c r="M6" s="292"/>
      <c r="N6" s="292"/>
      <c r="O6" s="292"/>
      <c r="P6" s="292"/>
      <c r="Q6" s="292"/>
      <c r="R6" s="292"/>
      <c r="S6" s="292"/>
      <c r="T6" s="293"/>
      <c r="V6" s="224"/>
      <c r="W6" s="83"/>
      <c r="X6" s="83"/>
      <c r="Y6" s="83"/>
      <c r="Z6" s="83"/>
      <c r="AA6" s="83"/>
      <c r="AB6" s="83"/>
      <c r="AC6" s="83"/>
      <c r="AD6" s="83"/>
      <c r="AE6" s="83"/>
      <c r="AF6" s="223"/>
    </row>
    <row r="7" spans="1:32" ht="15" customHeight="1" x14ac:dyDescent="0.35">
      <c r="B7" s="282"/>
      <c r="C7" s="283"/>
      <c r="D7" s="283"/>
      <c r="E7" s="283"/>
      <c r="F7" s="283"/>
      <c r="G7" s="283"/>
      <c r="H7" s="283"/>
      <c r="I7" s="283"/>
      <c r="J7" s="284"/>
      <c r="L7" s="291"/>
      <c r="M7" s="292"/>
      <c r="N7" s="292"/>
      <c r="O7" s="292"/>
      <c r="P7" s="292"/>
      <c r="Q7" s="292"/>
      <c r="R7" s="292"/>
      <c r="S7" s="292"/>
      <c r="T7" s="293"/>
      <c r="V7" s="224"/>
      <c r="W7" s="83"/>
      <c r="X7" s="83"/>
      <c r="Y7" s="83"/>
      <c r="Z7" s="83"/>
      <c r="AA7" s="83"/>
      <c r="AB7" s="83"/>
      <c r="AC7" s="83"/>
      <c r="AD7" s="83"/>
      <c r="AE7" s="83"/>
      <c r="AF7" s="223"/>
    </row>
    <row r="8" spans="1:32" ht="15" customHeight="1" x14ac:dyDescent="0.35">
      <c r="B8" s="282"/>
      <c r="C8" s="283"/>
      <c r="D8" s="283"/>
      <c r="E8" s="283"/>
      <c r="F8" s="283"/>
      <c r="G8" s="283"/>
      <c r="H8" s="283"/>
      <c r="I8" s="283"/>
      <c r="J8" s="284"/>
      <c r="L8" s="291"/>
      <c r="M8" s="292"/>
      <c r="N8" s="292"/>
      <c r="O8" s="292"/>
      <c r="P8" s="292"/>
      <c r="Q8" s="292"/>
      <c r="R8" s="292"/>
      <c r="S8" s="292"/>
      <c r="T8" s="293"/>
      <c r="V8" s="224"/>
      <c r="W8" s="83"/>
      <c r="X8" s="83"/>
      <c r="Y8" s="83"/>
      <c r="Z8" s="83"/>
      <c r="AA8" s="83"/>
      <c r="AB8" s="83"/>
      <c r="AC8" s="83"/>
      <c r="AD8" s="83"/>
      <c r="AE8" s="83"/>
      <c r="AF8" s="223"/>
    </row>
    <row r="9" spans="1:32" ht="15" customHeight="1" x14ac:dyDescent="0.35">
      <c r="B9" s="282"/>
      <c r="C9" s="283"/>
      <c r="D9" s="283"/>
      <c r="E9" s="283"/>
      <c r="F9" s="283"/>
      <c r="G9" s="283"/>
      <c r="H9" s="283"/>
      <c r="I9" s="283"/>
      <c r="J9" s="284"/>
      <c r="L9" s="291"/>
      <c r="M9" s="292"/>
      <c r="N9" s="292"/>
      <c r="O9" s="292"/>
      <c r="P9" s="292"/>
      <c r="Q9" s="292"/>
      <c r="R9" s="292"/>
      <c r="S9" s="292"/>
      <c r="T9" s="293"/>
      <c r="V9" s="224"/>
      <c r="W9" s="83"/>
      <c r="X9" s="83"/>
      <c r="Y9" s="83"/>
      <c r="Z9" s="83"/>
      <c r="AA9" s="83"/>
      <c r="AB9" s="83"/>
      <c r="AC9" s="83"/>
      <c r="AD9" s="83"/>
      <c r="AE9" s="83"/>
      <c r="AF9" s="223"/>
    </row>
    <row r="10" spans="1:32" ht="15" customHeight="1" x14ac:dyDescent="0.35">
      <c r="B10" s="282"/>
      <c r="C10" s="283"/>
      <c r="D10" s="283"/>
      <c r="E10" s="283"/>
      <c r="F10" s="283"/>
      <c r="G10" s="283"/>
      <c r="H10" s="283"/>
      <c r="I10" s="283"/>
      <c r="J10" s="284"/>
      <c r="L10" s="291"/>
      <c r="M10" s="292"/>
      <c r="N10" s="292"/>
      <c r="O10" s="292"/>
      <c r="P10" s="292"/>
      <c r="Q10" s="292"/>
      <c r="R10" s="292"/>
      <c r="S10" s="292"/>
      <c r="T10" s="293"/>
      <c r="V10" s="224"/>
      <c r="W10" s="83"/>
      <c r="X10" s="83"/>
      <c r="Y10" s="83"/>
      <c r="Z10" s="83"/>
      <c r="AA10" s="83"/>
      <c r="AB10" s="83"/>
      <c r="AC10" s="83"/>
      <c r="AD10" s="83"/>
      <c r="AE10" s="83"/>
      <c r="AF10" s="223"/>
    </row>
    <row r="11" spans="1:32" ht="15" customHeight="1" x14ac:dyDescent="0.35">
      <c r="B11" s="282"/>
      <c r="C11" s="283"/>
      <c r="D11" s="283"/>
      <c r="E11" s="283"/>
      <c r="F11" s="283"/>
      <c r="G11" s="283"/>
      <c r="H11" s="283"/>
      <c r="I11" s="283"/>
      <c r="J11" s="284"/>
      <c r="L11" s="291"/>
      <c r="M11" s="292"/>
      <c r="N11" s="292"/>
      <c r="O11" s="292"/>
      <c r="P11" s="292"/>
      <c r="Q11" s="292"/>
      <c r="R11" s="292"/>
      <c r="S11" s="292"/>
      <c r="T11" s="293"/>
      <c r="V11" s="224"/>
      <c r="W11" s="83"/>
      <c r="X11" s="83"/>
      <c r="Y11" s="83"/>
      <c r="Z11" s="83"/>
      <c r="AA11" s="83"/>
      <c r="AB11" s="83"/>
      <c r="AC11" s="83"/>
      <c r="AD11" s="83"/>
      <c r="AE11" s="83"/>
      <c r="AF11" s="223"/>
    </row>
    <row r="12" spans="1:32" ht="15" customHeight="1" x14ac:dyDescent="0.35">
      <c r="B12" s="282"/>
      <c r="C12" s="283"/>
      <c r="D12" s="283"/>
      <c r="E12" s="283"/>
      <c r="F12" s="283"/>
      <c r="G12" s="283"/>
      <c r="H12" s="283"/>
      <c r="I12" s="283"/>
      <c r="J12" s="284"/>
      <c r="L12" s="291"/>
      <c r="M12" s="292"/>
      <c r="N12" s="292"/>
      <c r="O12" s="292"/>
      <c r="P12" s="292"/>
      <c r="Q12" s="292"/>
      <c r="R12" s="292"/>
      <c r="S12" s="292"/>
      <c r="T12" s="293"/>
      <c r="V12" s="224"/>
      <c r="W12" s="83"/>
      <c r="X12" s="83"/>
      <c r="Y12" s="83"/>
      <c r="Z12" s="83"/>
      <c r="AA12" s="83"/>
      <c r="AB12" s="83"/>
      <c r="AC12" s="83"/>
      <c r="AD12" s="83"/>
      <c r="AE12" s="83"/>
      <c r="AF12" s="223"/>
    </row>
    <row r="13" spans="1:32" ht="15" customHeight="1" x14ac:dyDescent="0.35">
      <c r="B13" s="282"/>
      <c r="C13" s="283"/>
      <c r="D13" s="283"/>
      <c r="E13" s="283"/>
      <c r="F13" s="283"/>
      <c r="G13" s="283"/>
      <c r="H13" s="283"/>
      <c r="I13" s="283"/>
      <c r="J13" s="284"/>
      <c r="L13" s="291"/>
      <c r="M13" s="292"/>
      <c r="N13" s="292"/>
      <c r="O13" s="292"/>
      <c r="P13" s="292"/>
      <c r="Q13" s="292"/>
      <c r="R13" s="292"/>
      <c r="S13" s="292"/>
      <c r="T13" s="293"/>
      <c r="V13" s="224"/>
      <c r="W13" s="83"/>
      <c r="X13" s="83"/>
      <c r="Y13" s="83"/>
      <c r="Z13" s="83"/>
      <c r="AA13" s="83"/>
      <c r="AB13" s="83"/>
      <c r="AC13" s="83"/>
      <c r="AD13" s="83"/>
      <c r="AE13" s="83"/>
      <c r="AF13" s="223"/>
    </row>
    <row r="14" spans="1:32" ht="15" customHeight="1" x14ac:dyDescent="0.35">
      <c r="B14" s="282"/>
      <c r="C14" s="283"/>
      <c r="D14" s="283"/>
      <c r="E14" s="283"/>
      <c r="F14" s="283"/>
      <c r="G14" s="283"/>
      <c r="H14" s="283"/>
      <c r="I14" s="283"/>
      <c r="J14" s="284"/>
      <c r="L14" s="291"/>
      <c r="M14" s="292"/>
      <c r="N14" s="292"/>
      <c r="O14" s="292"/>
      <c r="P14" s="292"/>
      <c r="Q14" s="292"/>
      <c r="R14" s="292"/>
      <c r="S14" s="292"/>
      <c r="T14" s="293"/>
      <c r="V14" s="224"/>
      <c r="W14" s="83"/>
      <c r="X14" s="83"/>
      <c r="Y14" s="83"/>
      <c r="Z14" s="83"/>
      <c r="AA14" s="83"/>
      <c r="AB14" s="83"/>
      <c r="AC14" s="83"/>
      <c r="AD14" s="83"/>
      <c r="AE14" s="83"/>
      <c r="AF14" s="223"/>
    </row>
    <row r="15" spans="1:32" ht="15" customHeight="1" x14ac:dyDescent="0.35">
      <c r="B15" s="282"/>
      <c r="C15" s="283"/>
      <c r="D15" s="283"/>
      <c r="E15" s="283"/>
      <c r="F15" s="283"/>
      <c r="G15" s="283"/>
      <c r="H15" s="283"/>
      <c r="I15" s="283"/>
      <c r="J15" s="284"/>
      <c r="L15" s="291"/>
      <c r="M15" s="292"/>
      <c r="N15" s="292"/>
      <c r="O15" s="292"/>
      <c r="P15" s="292"/>
      <c r="Q15" s="292"/>
      <c r="R15" s="292"/>
      <c r="S15" s="292"/>
      <c r="T15" s="293"/>
      <c r="V15" s="224"/>
      <c r="W15" s="83"/>
      <c r="X15" s="83"/>
      <c r="Y15" s="83"/>
      <c r="Z15" s="83"/>
      <c r="AA15" s="83"/>
      <c r="AB15" s="83"/>
      <c r="AC15" s="83"/>
      <c r="AD15" s="83"/>
      <c r="AE15" s="83"/>
      <c r="AF15" s="223"/>
    </row>
    <row r="16" spans="1:32" ht="15" customHeight="1" x14ac:dyDescent="0.35">
      <c r="B16" s="282"/>
      <c r="C16" s="283"/>
      <c r="D16" s="283"/>
      <c r="E16" s="283"/>
      <c r="F16" s="283"/>
      <c r="G16" s="283"/>
      <c r="H16" s="283"/>
      <c r="I16" s="283"/>
      <c r="J16" s="284"/>
      <c r="L16" s="291"/>
      <c r="M16" s="292"/>
      <c r="N16" s="292"/>
      <c r="O16" s="292"/>
      <c r="P16" s="292"/>
      <c r="Q16" s="292"/>
      <c r="R16" s="292"/>
      <c r="S16" s="292"/>
      <c r="T16" s="293"/>
      <c r="V16" s="224"/>
      <c r="W16" s="83"/>
      <c r="X16" s="83"/>
      <c r="Y16" s="83"/>
      <c r="Z16" s="83"/>
      <c r="AA16" s="83"/>
      <c r="AB16" s="83"/>
      <c r="AC16" s="83"/>
      <c r="AD16" s="83"/>
      <c r="AE16" s="83"/>
      <c r="AF16" s="223"/>
    </row>
    <row r="17" spans="2:32" ht="15" customHeight="1" x14ac:dyDescent="0.35">
      <c r="B17" s="282"/>
      <c r="C17" s="283"/>
      <c r="D17" s="283"/>
      <c r="E17" s="283"/>
      <c r="F17" s="283"/>
      <c r="G17" s="283"/>
      <c r="H17" s="283"/>
      <c r="I17" s="283"/>
      <c r="J17" s="284"/>
      <c r="L17" s="291"/>
      <c r="M17" s="292"/>
      <c r="N17" s="292"/>
      <c r="O17" s="292"/>
      <c r="P17" s="292"/>
      <c r="Q17" s="292"/>
      <c r="R17" s="292"/>
      <c r="S17" s="292"/>
      <c r="T17" s="293"/>
      <c r="V17" s="224"/>
      <c r="W17" s="83"/>
      <c r="X17" s="83"/>
      <c r="Y17" s="83"/>
      <c r="Z17" s="83"/>
      <c r="AA17" s="83"/>
      <c r="AB17" s="83"/>
      <c r="AC17" s="83"/>
      <c r="AD17" s="83"/>
      <c r="AE17" s="83"/>
      <c r="AF17" s="223"/>
    </row>
    <row r="18" spans="2:32" ht="15" customHeight="1" x14ac:dyDescent="0.35">
      <c r="B18" s="282"/>
      <c r="C18" s="283"/>
      <c r="D18" s="283"/>
      <c r="E18" s="283"/>
      <c r="F18" s="283"/>
      <c r="G18" s="283"/>
      <c r="H18" s="283"/>
      <c r="I18" s="283"/>
      <c r="J18" s="284"/>
      <c r="L18" s="291"/>
      <c r="M18" s="292"/>
      <c r="N18" s="292"/>
      <c r="O18" s="292"/>
      <c r="P18" s="292"/>
      <c r="Q18" s="292"/>
      <c r="R18" s="292"/>
      <c r="S18" s="292"/>
      <c r="T18" s="293"/>
      <c r="V18" s="224"/>
      <c r="W18" s="83"/>
      <c r="X18" s="83"/>
      <c r="Y18" s="83"/>
      <c r="Z18" s="83"/>
      <c r="AA18" s="83"/>
      <c r="AB18" s="83"/>
      <c r="AC18" s="83"/>
      <c r="AD18" s="83"/>
      <c r="AE18" s="83"/>
      <c r="AF18" s="223"/>
    </row>
    <row r="19" spans="2:32" ht="15" customHeight="1" x14ac:dyDescent="0.35">
      <c r="B19" s="282"/>
      <c r="C19" s="283"/>
      <c r="D19" s="283"/>
      <c r="E19" s="283"/>
      <c r="F19" s="283"/>
      <c r="G19" s="283"/>
      <c r="H19" s="283"/>
      <c r="I19" s="283"/>
      <c r="J19" s="284"/>
      <c r="L19" s="291"/>
      <c r="M19" s="292"/>
      <c r="N19" s="292"/>
      <c r="O19" s="292"/>
      <c r="P19" s="292"/>
      <c r="Q19" s="292"/>
      <c r="R19" s="292"/>
      <c r="S19" s="292"/>
      <c r="T19" s="293"/>
      <c r="V19" s="224"/>
      <c r="W19" s="83"/>
      <c r="X19" s="83"/>
      <c r="Y19" s="83"/>
      <c r="Z19" s="83"/>
      <c r="AA19" s="83"/>
      <c r="AB19" s="83"/>
      <c r="AC19" s="83"/>
      <c r="AD19" s="83"/>
      <c r="AE19" s="83"/>
      <c r="AF19" s="223"/>
    </row>
    <row r="20" spans="2:32" ht="15" customHeight="1" x14ac:dyDescent="0.35">
      <c r="B20" s="282"/>
      <c r="C20" s="283"/>
      <c r="D20" s="283"/>
      <c r="E20" s="283"/>
      <c r="F20" s="283"/>
      <c r="G20" s="283"/>
      <c r="H20" s="283"/>
      <c r="I20" s="283"/>
      <c r="J20" s="284"/>
      <c r="L20" s="291"/>
      <c r="M20" s="292"/>
      <c r="N20" s="292"/>
      <c r="O20" s="292"/>
      <c r="P20" s="292"/>
      <c r="Q20" s="292"/>
      <c r="R20" s="292"/>
      <c r="S20" s="292"/>
      <c r="T20" s="293"/>
      <c r="V20" s="224"/>
      <c r="W20" s="83"/>
      <c r="X20" s="83"/>
      <c r="Y20" s="83"/>
      <c r="Z20" s="83"/>
      <c r="AA20" s="83"/>
      <c r="AB20" s="83"/>
      <c r="AC20" s="83"/>
      <c r="AD20" s="83"/>
      <c r="AE20" s="83"/>
      <c r="AF20" s="223"/>
    </row>
    <row r="21" spans="2:32" ht="15" customHeight="1" x14ac:dyDescent="0.35">
      <c r="B21" s="282"/>
      <c r="C21" s="283"/>
      <c r="D21" s="283"/>
      <c r="E21" s="283"/>
      <c r="F21" s="283"/>
      <c r="G21" s="283"/>
      <c r="H21" s="283"/>
      <c r="I21" s="283"/>
      <c r="J21" s="284"/>
      <c r="L21" s="291"/>
      <c r="M21" s="292"/>
      <c r="N21" s="292"/>
      <c r="O21" s="292"/>
      <c r="P21" s="292"/>
      <c r="Q21" s="292"/>
      <c r="R21" s="292"/>
      <c r="S21" s="292"/>
      <c r="T21" s="293"/>
      <c r="V21" s="224"/>
      <c r="W21" s="83"/>
      <c r="X21" s="83"/>
      <c r="Y21" s="83"/>
      <c r="Z21" s="83"/>
      <c r="AA21" s="83"/>
      <c r="AB21" s="83"/>
      <c r="AC21" s="83"/>
      <c r="AD21" s="83"/>
      <c r="AE21" s="83"/>
      <c r="AF21" s="223"/>
    </row>
    <row r="22" spans="2:32" ht="15" customHeight="1" x14ac:dyDescent="0.35">
      <c r="B22" s="282"/>
      <c r="C22" s="283"/>
      <c r="D22" s="283"/>
      <c r="E22" s="283"/>
      <c r="F22" s="283"/>
      <c r="G22" s="283"/>
      <c r="H22" s="283"/>
      <c r="I22" s="283"/>
      <c r="J22" s="284"/>
      <c r="L22" s="291"/>
      <c r="M22" s="292"/>
      <c r="N22" s="292"/>
      <c r="O22" s="292"/>
      <c r="P22" s="292"/>
      <c r="Q22" s="292"/>
      <c r="R22" s="292"/>
      <c r="S22" s="292"/>
      <c r="T22" s="293"/>
      <c r="V22" s="224"/>
      <c r="W22" s="83"/>
      <c r="X22" s="83"/>
      <c r="Y22" s="83"/>
      <c r="Z22" s="83"/>
      <c r="AA22" s="83"/>
      <c r="AB22" s="83"/>
      <c r="AC22" s="83"/>
      <c r="AD22" s="83"/>
      <c r="AE22" s="83"/>
      <c r="AF22" s="223"/>
    </row>
    <row r="23" spans="2:32" ht="15" customHeight="1" x14ac:dyDescent="0.35">
      <c r="B23" s="282"/>
      <c r="C23" s="283"/>
      <c r="D23" s="283"/>
      <c r="E23" s="283"/>
      <c r="F23" s="283"/>
      <c r="G23" s="283"/>
      <c r="H23" s="283"/>
      <c r="I23" s="283"/>
      <c r="J23" s="284"/>
      <c r="L23" s="291"/>
      <c r="M23" s="292"/>
      <c r="N23" s="292"/>
      <c r="O23" s="292"/>
      <c r="P23" s="292"/>
      <c r="Q23" s="292"/>
      <c r="R23" s="292"/>
      <c r="S23" s="292"/>
      <c r="T23" s="293"/>
      <c r="V23" s="224"/>
      <c r="W23" s="83"/>
      <c r="X23" s="83"/>
      <c r="Y23" s="83"/>
      <c r="Z23" s="83"/>
      <c r="AA23" s="83"/>
      <c r="AB23" s="83"/>
      <c r="AC23" s="83"/>
      <c r="AD23" s="83"/>
      <c r="AE23" s="83"/>
      <c r="AF23" s="223"/>
    </row>
    <row r="24" spans="2:32" ht="15" customHeight="1" x14ac:dyDescent="0.35">
      <c r="B24" s="282"/>
      <c r="C24" s="283"/>
      <c r="D24" s="283"/>
      <c r="E24" s="283"/>
      <c r="F24" s="283"/>
      <c r="G24" s="283"/>
      <c r="H24" s="283"/>
      <c r="I24" s="283"/>
      <c r="J24" s="284"/>
      <c r="L24" s="291"/>
      <c r="M24" s="292"/>
      <c r="N24" s="292"/>
      <c r="O24" s="292"/>
      <c r="P24" s="292"/>
      <c r="Q24" s="292"/>
      <c r="R24" s="292"/>
      <c r="S24" s="292"/>
      <c r="T24" s="293"/>
      <c r="V24" s="224"/>
      <c r="W24" s="83"/>
      <c r="X24" s="83"/>
      <c r="Y24" s="83"/>
      <c r="Z24" s="83"/>
      <c r="AA24" s="83"/>
      <c r="AB24" s="83"/>
      <c r="AC24" s="83"/>
      <c r="AD24" s="83"/>
      <c r="AE24" s="83"/>
      <c r="AF24" s="223"/>
    </row>
    <row r="25" spans="2:32" ht="15" customHeight="1" x14ac:dyDescent="0.35">
      <c r="B25" s="282"/>
      <c r="C25" s="283"/>
      <c r="D25" s="283"/>
      <c r="E25" s="283"/>
      <c r="F25" s="283"/>
      <c r="G25" s="283"/>
      <c r="H25" s="283"/>
      <c r="I25" s="283"/>
      <c r="J25" s="284"/>
      <c r="L25" s="291"/>
      <c r="M25" s="292"/>
      <c r="N25" s="292"/>
      <c r="O25" s="292"/>
      <c r="P25" s="292"/>
      <c r="Q25" s="292"/>
      <c r="R25" s="292"/>
      <c r="S25" s="292"/>
      <c r="T25" s="293"/>
      <c r="V25" s="224"/>
      <c r="W25" s="83"/>
      <c r="X25" s="83"/>
      <c r="Y25" s="83"/>
      <c r="Z25" s="83"/>
      <c r="AA25" s="83"/>
      <c r="AB25" s="83"/>
      <c r="AC25" s="83"/>
      <c r="AD25" s="83"/>
      <c r="AE25" s="83"/>
      <c r="AF25" s="223"/>
    </row>
    <row r="26" spans="2:32" ht="15" customHeight="1" x14ac:dyDescent="0.35">
      <c r="B26" s="282"/>
      <c r="C26" s="283"/>
      <c r="D26" s="283"/>
      <c r="E26" s="283"/>
      <c r="F26" s="283"/>
      <c r="G26" s="283"/>
      <c r="H26" s="283"/>
      <c r="I26" s="283"/>
      <c r="J26" s="284"/>
      <c r="L26" s="291"/>
      <c r="M26" s="292"/>
      <c r="N26" s="292"/>
      <c r="O26" s="292"/>
      <c r="P26" s="292"/>
      <c r="Q26" s="292"/>
      <c r="R26" s="292"/>
      <c r="S26" s="292"/>
      <c r="T26" s="293"/>
      <c r="V26" s="224"/>
      <c r="W26" s="83"/>
      <c r="X26" s="83"/>
      <c r="Y26" s="83"/>
      <c r="Z26" s="83"/>
      <c r="AA26" s="83"/>
      <c r="AB26" s="83"/>
      <c r="AC26" s="83"/>
      <c r="AD26" s="83"/>
      <c r="AE26" s="83"/>
      <c r="AF26" s="223"/>
    </row>
    <row r="27" spans="2:32" ht="15" customHeight="1" x14ac:dyDescent="0.35">
      <c r="B27" s="282"/>
      <c r="C27" s="283"/>
      <c r="D27" s="283"/>
      <c r="E27" s="283"/>
      <c r="F27" s="283"/>
      <c r="G27" s="283"/>
      <c r="H27" s="283"/>
      <c r="I27" s="283"/>
      <c r="J27" s="284"/>
      <c r="L27" s="291"/>
      <c r="M27" s="292"/>
      <c r="N27" s="292"/>
      <c r="O27" s="292"/>
      <c r="P27" s="292"/>
      <c r="Q27" s="292"/>
      <c r="R27" s="292"/>
      <c r="S27" s="292"/>
      <c r="T27" s="293"/>
      <c r="V27" s="224"/>
      <c r="W27" s="83"/>
      <c r="X27" s="83"/>
      <c r="Y27" s="83"/>
      <c r="Z27" s="83"/>
      <c r="AA27" s="83"/>
      <c r="AB27" s="83"/>
      <c r="AC27" s="83"/>
      <c r="AD27" s="83"/>
      <c r="AE27" s="83"/>
      <c r="AF27" s="223"/>
    </row>
    <row r="28" spans="2:32" ht="15" customHeight="1" x14ac:dyDescent="0.35">
      <c r="B28" s="282"/>
      <c r="C28" s="283"/>
      <c r="D28" s="283"/>
      <c r="E28" s="283"/>
      <c r="F28" s="283"/>
      <c r="G28" s="283"/>
      <c r="H28" s="283"/>
      <c r="I28" s="283"/>
      <c r="J28" s="284"/>
      <c r="L28" s="294"/>
      <c r="M28" s="295"/>
      <c r="N28" s="295"/>
      <c r="O28" s="295"/>
      <c r="P28" s="295"/>
      <c r="Q28" s="295"/>
      <c r="R28" s="295"/>
      <c r="S28" s="295"/>
      <c r="T28" s="296"/>
      <c r="V28" s="224"/>
      <c r="W28" s="83"/>
      <c r="X28" s="83"/>
      <c r="Y28" s="83"/>
      <c r="Z28" s="83"/>
      <c r="AA28" s="83"/>
      <c r="AB28" s="83"/>
      <c r="AC28" s="83"/>
      <c r="AD28" s="83"/>
      <c r="AE28" s="83"/>
      <c r="AF28" s="223"/>
    </row>
    <row r="29" spans="2:32" ht="15" customHeight="1" x14ac:dyDescent="0.35">
      <c r="B29" s="282"/>
      <c r="C29" s="283"/>
      <c r="D29" s="283"/>
      <c r="E29" s="283"/>
      <c r="F29" s="283"/>
      <c r="G29" s="283"/>
      <c r="H29" s="283"/>
      <c r="I29" s="283"/>
      <c r="J29" s="284"/>
      <c r="L29" s="204"/>
      <c r="M29" s="204"/>
      <c r="N29" s="204"/>
      <c r="O29" s="204"/>
      <c r="P29" s="204"/>
      <c r="Q29" s="204"/>
      <c r="R29" s="204"/>
      <c r="S29" s="204"/>
      <c r="T29" s="204"/>
      <c r="V29" s="224"/>
      <c r="W29" s="83"/>
      <c r="X29" s="83"/>
      <c r="Y29" s="83"/>
      <c r="Z29" s="83"/>
      <c r="AA29" s="83"/>
      <c r="AB29" s="83"/>
      <c r="AC29" s="83"/>
      <c r="AD29" s="83"/>
      <c r="AE29" s="83"/>
      <c r="AF29" s="223"/>
    </row>
    <row r="30" spans="2:32" ht="15" customHeight="1" x14ac:dyDescent="0.35">
      <c r="B30" s="282"/>
      <c r="C30" s="283"/>
      <c r="D30" s="283"/>
      <c r="E30" s="283"/>
      <c r="F30" s="283"/>
      <c r="G30" s="283"/>
      <c r="H30" s="283"/>
      <c r="I30" s="283"/>
      <c r="J30" s="284"/>
      <c r="L30" s="288" t="s">
        <v>65</v>
      </c>
      <c r="M30" s="289"/>
      <c r="N30" s="289"/>
      <c r="O30" s="289"/>
      <c r="P30" s="289"/>
      <c r="Q30" s="289"/>
      <c r="R30" s="289"/>
      <c r="S30" s="289"/>
      <c r="T30" s="290"/>
      <c r="U30" s="83"/>
      <c r="V30" s="224"/>
      <c r="W30" s="83"/>
      <c r="X30" s="83"/>
      <c r="Y30" s="83"/>
      <c r="Z30" s="83"/>
      <c r="AA30" s="83"/>
      <c r="AB30" s="83"/>
      <c r="AC30" s="83"/>
      <c r="AD30" s="83"/>
      <c r="AE30" s="83"/>
      <c r="AF30" s="223"/>
    </row>
    <row r="31" spans="2:32" ht="15" customHeight="1" x14ac:dyDescent="0.35">
      <c r="B31" s="282"/>
      <c r="C31" s="283"/>
      <c r="D31" s="283"/>
      <c r="E31" s="283"/>
      <c r="F31" s="283"/>
      <c r="G31" s="283"/>
      <c r="H31" s="283"/>
      <c r="I31" s="283"/>
      <c r="J31" s="284"/>
      <c r="L31" s="291"/>
      <c r="M31" s="292"/>
      <c r="N31" s="292"/>
      <c r="O31" s="292"/>
      <c r="P31" s="292"/>
      <c r="Q31" s="292"/>
      <c r="R31" s="292"/>
      <c r="S31" s="292"/>
      <c r="T31" s="293"/>
      <c r="V31" s="224"/>
      <c r="W31" s="83"/>
      <c r="X31" s="83"/>
      <c r="Y31" s="83"/>
      <c r="Z31" s="83"/>
      <c r="AA31" s="83"/>
      <c r="AB31" s="83"/>
      <c r="AC31" s="83"/>
      <c r="AD31" s="83"/>
      <c r="AE31" s="83"/>
      <c r="AF31" s="223"/>
    </row>
    <row r="32" spans="2:32" ht="15" customHeight="1" x14ac:dyDescent="0.35">
      <c r="B32" s="282"/>
      <c r="C32" s="283"/>
      <c r="D32" s="283"/>
      <c r="E32" s="283"/>
      <c r="F32" s="283"/>
      <c r="G32" s="283"/>
      <c r="H32" s="283"/>
      <c r="I32" s="283"/>
      <c r="J32" s="284"/>
      <c r="L32" s="291"/>
      <c r="M32" s="292"/>
      <c r="N32" s="292"/>
      <c r="O32" s="292"/>
      <c r="P32" s="292"/>
      <c r="Q32" s="292"/>
      <c r="R32" s="292"/>
      <c r="S32" s="292"/>
      <c r="T32" s="293"/>
      <c r="V32" s="224"/>
      <c r="W32" s="83"/>
      <c r="X32" s="83"/>
      <c r="Y32" s="83"/>
      <c r="Z32" s="83"/>
      <c r="AA32" s="83"/>
      <c r="AB32" s="83"/>
      <c r="AC32" s="83"/>
      <c r="AD32" s="83"/>
      <c r="AE32" s="83"/>
      <c r="AF32" s="223"/>
    </row>
    <row r="33" spans="2:32" ht="15" customHeight="1" x14ac:dyDescent="0.35">
      <c r="B33" s="282"/>
      <c r="C33" s="283"/>
      <c r="D33" s="283"/>
      <c r="E33" s="283"/>
      <c r="F33" s="283"/>
      <c r="G33" s="283"/>
      <c r="H33" s="283"/>
      <c r="I33" s="283"/>
      <c r="J33" s="284"/>
      <c r="L33" s="291"/>
      <c r="M33" s="292"/>
      <c r="N33" s="292"/>
      <c r="O33" s="292"/>
      <c r="P33" s="292"/>
      <c r="Q33" s="292"/>
      <c r="R33" s="292"/>
      <c r="S33" s="292"/>
      <c r="T33" s="293"/>
      <c r="V33" s="224"/>
      <c r="W33" s="83"/>
      <c r="X33" s="83"/>
      <c r="Y33" s="83"/>
      <c r="Z33" s="83"/>
      <c r="AA33" s="83"/>
      <c r="AB33" s="83"/>
      <c r="AC33" s="83"/>
      <c r="AD33" s="83"/>
      <c r="AE33" s="83"/>
      <c r="AF33" s="223"/>
    </row>
    <row r="34" spans="2:32" ht="15" customHeight="1" x14ac:dyDescent="0.35">
      <c r="B34" s="282"/>
      <c r="C34" s="283"/>
      <c r="D34" s="283"/>
      <c r="E34" s="283"/>
      <c r="F34" s="283"/>
      <c r="G34" s="283"/>
      <c r="H34" s="283"/>
      <c r="I34" s="283"/>
      <c r="J34" s="284"/>
      <c r="L34" s="291"/>
      <c r="M34" s="292"/>
      <c r="N34" s="292"/>
      <c r="O34" s="292"/>
      <c r="P34" s="292"/>
      <c r="Q34" s="292"/>
      <c r="R34" s="292"/>
      <c r="S34" s="292"/>
      <c r="T34" s="293"/>
      <c r="V34" s="224"/>
      <c r="W34" s="83"/>
      <c r="X34" s="83"/>
      <c r="Y34" s="83"/>
      <c r="Z34" s="83"/>
      <c r="AA34" s="83"/>
      <c r="AB34" s="83"/>
      <c r="AC34" s="83"/>
      <c r="AD34" s="83"/>
      <c r="AE34" s="83"/>
      <c r="AF34" s="223"/>
    </row>
    <row r="35" spans="2:32" ht="15" customHeight="1" x14ac:dyDescent="0.35">
      <c r="B35" s="282"/>
      <c r="C35" s="283"/>
      <c r="D35" s="283"/>
      <c r="E35" s="283"/>
      <c r="F35" s="283"/>
      <c r="G35" s="283"/>
      <c r="H35" s="283"/>
      <c r="I35" s="283"/>
      <c r="J35" s="284"/>
      <c r="L35" s="291"/>
      <c r="M35" s="292"/>
      <c r="N35" s="292"/>
      <c r="O35" s="292"/>
      <c r="P35" s="292"/>
      <c r="Q35" s="292"/>
      <c r="R35" s="292"/>
      <c r="S35" s="292"/>
      <c r="T35" s="293"/>
      <c r="V35" s="224"/>
      <c r="W35" s="83"/>
      <c r="X35" s="83"/>
      <c r="Y35" s="83"/>
      <c r="Z35" s="83"/>
      <c r="AA35" s="83"/>
      <c r="AB35" s="83"/>
      <c r="AC35" s="83"/>
      <c r="AD35" s="83"/>
      <c r="AE35" s="83"/>
      <c r="AF35" s="223"/>
    </row>
    <row r="36" spans="2:32" ht="15" customHeight="1" x14ac:dyDescent="0.35">
      <c r="B36" s="282"/>
      <c r="C36" s="283"/>
      <c r="D36" s="283"/>
      <c r="E36" s="283"/>
      <c r="F36" s="283"/>
      <c r="G36" s="283"/>
      <c r="H36" s="283"/>
      <c r="I36" s="283"/>
      <c r="J36" s="284"/>
      <c r="L36" s="291"/>
      <c r="M36" s="292"/>
      <c r="N36" s="292"/>
      <c r="O36" s="292"/>
      <c r="P36" s="292"/>
      <c r="Q36" s="292"/>
      <c r="R36" s="292"/>
      <c r="S36" s="292"/>
      <c r="T36" s="293"/>
      <c r="V36" s="224"/>
      <c r="W36" s="83"/>
      <c r="X36" s="83"/>
      <c r="Y36" s="83"/>
      <c r="Z36" s="83"/>
      <c r="AA36" s="83"/>
      <c r="AB36" s="83"/>
      <c r="AC36" s="83"/>
      <c r="AD36" s="83"/>
      <c r="AE36" s="83"/>
      <c r="AF36" s="223"/>
    </row>
    <row r="37" spans="2:32" ht="15" customHeight="1" x14ac:dyDescent="0.35">
      <c r="B37" s="282"/>
      <c r="C37" s="283"/>
      <c r="D37" s="283"/>
      <c r="E37" s="283"/>
      <c r="F37" s="283"/>
      <c r="G37" s="283"/>
      <c r="H37" s="283"/>
      <c r="I37" s="283"/>
      <c r="J37" s="284"/>
      <c r="L37" s="291"/>
      <c r="M37" s="292"/>
      <c r="N37" s="292"/>
      <c r="O37" s="292"/>
      <c r="P37" s="292"/>
      <c r="Q37" s="292"/>
      <c r="R37" s="292"/>
      <c r="S37" s="292"/>
      <c r="T37" s="293"/>
      <c r="V37" s="224"/>
      <c r="W37" s="83"/>
      <c r="X37" s="83"/>
      <c r="Y37" s="83"/>
      <c r="Z37" s="83"/>
      <c r="AA37" s="83"/>
      <c r="AB37" s="83"/>
      <c r="AC37" s="83"/>
      <c r="AD37" s="83"/>
      <c r="AE37" s="83"/>
      <c r="AF37" s="223"/>
    </row>
    <row r="38" spans="2:32" ht="15" customHeight="1" x14ac:dyDescent="0.35">
      <c r="B38" s="282"/>
      <c r="C38" s="283"/>
      <c r="D38" s="283"/>
      <c r="E38" s="283"/>
      <c r="F38" s="283"/>
      <c r="G38" s="283"/>
      <c r="H38" s="283"/>
      <c r="I38" s="283"/>
      <c r="J38" s="284"/>
      <c r="L38" s="291"/>
      <c r="M38" s="292"/>
      <c r="N38" s="292"/>
      <c r="O38" s="292"/>
      <c r="P38" s="292"/>
      <c r="Q38" s="292"/>
      <c r="R38" s="292"/>
      <c r="S38" s="292"/>
      <c r="T38" s="293"/>
      <c r="V38" s="224"/>
      <c r="W38" s="83"/>
      <c r="X38" s="83"/>
      <c r="Y38" s="83"/>
      <c r="Z38" s="83"/>
      <c r="AA38" s="83"/>
      <c r="AB38" s="83"/>
      <c r="AC38" s="83"/>
      <c r="AD38" s="83"/>
      <c r="AE38" s="83"/>
      <c r="AF38" s="223"/>
    </row>
    <row r="39" spans="2:32" ht="15" customHeight="1" x14ac:dyDescent="0.35">
      <c r="B39" s="282"/>
      <c r="C39" s="283"/>
      <c r="D39" s="283"/>
      <c r="E39" s="283"/>
      <c r="F39" s="283"/>
      <c r="G39" s="283"/>
      <c r="H39" s="283"/>
      <c r="I39" s="283"/>
      <c r="J39" s="284"/>
      <c r="L39" s="291"/>
      <c r="M39" s="292"/>
      <c r="N39" s="292"/>
      <c r="O39" s="292"/>
      <c r="P39" s="292"/>
      <c r="Q39" s="292"/>
      <c r="R39" s="292"/>
      <c r="S39" s="292"/>
      <c r="T39" s="293"/>
      <c r="V39" s="224"/>
      <c r="W39" s="83"/>
      <c r="X39" s="83"/>
      <c r="Y39" s="83"/>
      <c r="Z39" s="83"/>
      <c r="AA39" s="83"/>
      <c r="AB39" s="83"/>
      <c r="AC39" s="83"/>
      <c r="AD39" s="83"/>
      <c r="AE39" s="83"/>
      <c r="AF39" s="223"/>
    </row>
    <row r="40" spans="2:32" ht="15" customHeight="1" x14ac:dyDescent="0.35">
      <c r="B40" s="282"/>
      <c r="C40" s="283"/>
      <c r="D40" s="283"/>
      <c r="E40" s="283"/>
      <c r="F40" s="283"/>
      <c r="G40" s="283"/>
      <c r="H40" s="283"/>
      <c r="I40" s="283"/>
      <c r="J40" s="284"/>
      <c r="L40" s="291"/>
      <c r="M40" s="292"/>
      <c r="N40" s="292"/>
      <c r="O40" s="292"/>
      <c r="P40" s="292"/>
      <c r="Q40" s="292"/>
      <c r="R40" s="292"/>
      <c r="S40" s="292"/>
      <c r="T40" s="293"/>
      <c r="V40" s="224"/>
      <c r="W40" s="83"/>
      <c r="X40" s="83"/>
      <c r="Y40" s="83"/>
      <c r="Z40" s="83"/>
      <c r="AA40" s="83"/>
      <c r="AB40" s="83"/>
      <c r="AC40" s="83"/>
      <c r="AD40" s="83"/>
      <c r="AE40" s="83"/>
      <c r="AF40" s="223"/>
    </row>
    <row r="41" spans="2:32" ht="15" customHeight="1" x14ac:dyDescent="0.35">
      <c r="B41" s="282"/>
      <c r="C41" s="283"/>
      <c r="D41" s="283"/>
      <c r="E41" s="283"/>
      <c r="F41" s="283"/>
      <c r="G41" s="283"/>
      <c r="H41" s="283"/>
      <c r="I41" s="283"/>
      <c r="J41" s="284"/>
      <c r="K41" s="83"/>
      <c r="L41" s="291"/>
      <c r="M41" s="292"/>
      <c r="N41" s="292"/>
      <c r="O41" s="292"/>
      <c r="P41" s="292"/>
      <c r="Q41" s="292"/>
      <c r="R41" s="292"/>
      <c r="S41" s="292"/>
      <c r="T41" s="293"/>
      <c r="V41" s="224"/>
      <c r="W41" s="83"/>
      <c r="X41" s="83"/>
      <c r="Y41" s="83"/>
      <c r="Z41" s="83"/>
      <c r="AA41" s="83"/>
      <c r="AB41" s="83"/>
      <c r="AC41" s="83"/>
      <c r="AD41" s="83"/>
      <c r="AE41" s="83"/>
      <c r="AF41" s="223"/>
    </row>
    <row r="42" spans="2:32" ht="15" customHeight="1" x14ac:dyDescent="0.35">
      <c r="B42" s="282"/>
      <c r="C42" s="283"/>
      <c r="D42" s="283"/>
      <c r="E42" s="283"/>
      <c r="F42" s="283"/>
      <c r="G42" s="283"/>
      <c r="H42" s="283"/>
      <c r="I42" s="283"/>
      <c r="J42" s="284"/>
      <c r="K42" s="83"/>
      <c r="L42" s="291"/>
      <c r="M42" s="292"/>
      <c r="N42" s="292"/>
      <c r="O42" s="292"/>
      <c r="P42" s="292"/>
      <c r="Q42" s="292"/>
      <c r="R42" s="292"/>
      <c r="S42" s="292"/>
      <c r="T42" s="293"/>
      <c r="V42" s="224"/>
      <c r="W42" s="83"/>
      <c r="X42" s="83"/>
      <c r="Y42" s="83"/>
      <c r="Z42" s="83"/>
      <c r="AA42" s="83"/>
      <c r="AB42" s="83"/>
      <c r="AC42" s="83"/>
      <c r="AD42" s="83"/>
      <c r="AE42" s="83"/>
      <c r="AF42" s="223"/>
    </row>
    <row r="43" spans="2:32" ht="15" customHeight="1" x14ac:dyDescent="0.35">
      <c r="B43" s="282"/>
      <c r="C43" s="283"/>
      <c r="D43" s="283"/>
      <c r="E43" s="283"/>
      <c r="F43" s="283"/>
      <c r="G43" s="283"/>
      <c r="H43" s="283"/>
      <c r="I43" s="283"/>
      <c r="J43" s="284"/>
      <c r="K43" s="83"/>
      <c r="L43" s="291"/>
      <c r="M43" s="292"/>
      <c r="N43" s="292"/>
      <c r="O43" s="292"/>
      <c r="P43" s="292"/>
      <c r="Q43" s="292"/>
      <c r="R43" s="292"/>
      <c r="S43" s="292"/>
      <c r="T43" s="293"/>
      <c r="V43" s="224"/>
      <c r="W43" s="83"/>
      <c r="X43" s="83"/>
      <c r="Y43" s="83"/>
      <c r="Z43" s="83"/>
      <c r="AA43" s="83"/>
      <c r="AB43" s="83"/>
      <c r="AC43" s="83"/>
      <c r="AD43" s="83"/>
      <c r="AE43" s="83"/>
      <c r="AF43" s="223"/>
    </row>
    <row r="44" spans="2:32" ht="15" customHeight="1" x14ac:dyDescent="0.35">
      <c r="B44" s="282"/>
      <c r="C44" s="283"/>
      <c r="D44" s="283"/>
      <c r="E44" s="283"/>
      <c r="F44" s="283"/>
      <c r="G44" s="283"/>
      <c r="H44" s="283"/>
      <c r="I44" s="283"/>
      <c r="J44" s="284"/>
      <c r="K44" s="83"/>
      <c r="L44" s="291"/>
      <c r="M44" s="292"/>
      <c r="N44" s="292"/>
      <c r="O44" s="292"/>
      <c r="P44" s="292"/>
      <c r="Q44" s="292"/>
      <c r="R44" s="292"/>
      <c r="S44" s="292"/>
      <c r="T44" s="293"/>
      <c r="V44" s="224"/>
      <c r="W44" s="83"/>
      <c r="X44" s="83"/>
      <c r="Y44" s="83"/>
      <c r="Z44" s="83"/>
      <c r="AA44" s="83"/>
      <c r="AB44" s="83"/>
      <c r="AC44" s="83"/>
      <c r="AD44" s="83"/>
      <c r="AE44" s="83"/>
      <c r="AF44" s="223"/>
    </row>
    <row r="45" spans="2:32" ht="15" customHeight="1" x14ac:dyDescent="0.35">
      <c r="B45" s="282"/>
      <c r="C45" s="283"/>
      <c r="D45" s="283"/>
      <c r="E45" s="283"/>
      <c r="F45" s="283"/>
      <c r="G45" s="283"/>
      <c r="H45" s="283"/>
      <c r="I45" s="283"/>
      <c r="J45" s="284"/>
      <c r="K45" s="83"/>
      <c r="L45" s="291"/>
      <c r="M45" s="292"/>
      <c r="N45" s="292"/>
      <c r="O45" s="292"/>
      <c r="P45" s="292"/>
      <c r="Q45" s="292"/>
      <c r="R45" s="292"/>
      <c r="S45" s="292"/>
      <c r="T45" s="293"/>
      <c r="V45" s="224"/>
      <c r="W45" s="83"/>
      <c r="X45" s="83"/>
      <c r="Y45" s="83"/>
      <c r="Z45" s="83"/>
      <c r="AA45" s="83"/>
      <c r="AB45" s="83"/>
      <c r="AC45" s="83"/>
      <c r="AD45" s="83"/>
      <c r="AE45" s="83"/>
      <c r="AF45" s="223"/>
    </row>
    <row r="46" spans="2:32" ht="15" customHeight="1" x14ac:dyDescent="0.35">
      <c r="B46" s="282"/>
      <c r="C46" s="283"/>
      <c r="D46" s="283"/>
      <c r="E46" s="283"/>
      <c r="F46" s="283"/>
      <c r="G46" s="283"/>
      <c r="H46" s="283"/>
      <c r="I46" s="283"/>
      <c r="J46" s="284"/>
      <c r="L46" s="291"/>
      <c r="M46" s="292"/>
      <c r="N46" s="292"/>
      <c r="O46" s="292"/>
      <c r="P46" s="292"/>
      <c r="Q46" s="292"/>
      <c r="R46" s="292"/>
      <c r="S46" s="292"/>
      <c r="T46" s="293"/>
      <c r="V46" s="224"/>
      <c r="W46" s="83"/>
      <c r="X46" s="83"/>
      <c r="Y46" s="83"/>
      <c r="Z46" s="83"/>
      <c r="AA46" s="83"/>
      <c r="AB46" s="83"/>
      <c r="AC46" s="83"/>
      <c r="AD46" s="83"/>
      <c r="AE46" s="83"/>
      <c r="AF46" s="223"/>
    </row>
    <row r="47" spans="2:32" ht="15" customHeight="1" x14ac:dyDescent="0.35">
      <c r="B47" s="282"/>
      <c r="C47" s="283"/>
      <c r="D47" s="283"/>
      <c r="E47" s="283"/>
      <c r="F47" s="283"/>
      <c r="G47" s="283"/>
      <c r="H47" s="283"/>
      <c r="I47" s="283"/>
      <c r="J47" s="284"/>
      <c r="L47" s="291"/>
      <c r="M47" s="292"/>
      <c r="N47" s="292"/>
      <c r="O47" s="292"/>
      <c r="P47" s="292"/>
      <c r="Q47" s="292"/>
      <c r="R47" s="292"/>
      <c r="S47" s="292"/>
      <c r="T47" s="293"/>
      <c r="V47" s="224"/>
      <c r="W47" s="83"/>
      <c r="X47" s="83"/>
      <c r="Y47" s="83"/>
      <c r="Z47" s="83"/>
      <c r="AA47" s="83"/>
      <c r="AB47" s="83"/>
      <c r="AC47" s="83"/>
      <c r="AD47" s="83"/>
      <c r="AE47" s="83"/>
      <c r="AF47" s="223"/>
    </row>
    <row r="48" spans="2:32" ht="15" customHeight="1" x14ac:dyDescent="0.35">
      <c r="B48" s="282"/>
      <c r="C48" s="283"/>
      <c r="D48" s="283"/>
      <c r="E48" s="283"/>
      <c r="F48" s="283"/>
      <c r="G48" s="283"/>
      <c r="H48" s="283"/>
      <c r="I48" s="283"/>
      <c r="J48" s="284"/>
      <c r="L48" s="291"/>
      <c r="M48" s="292"/>
      <c r="N48" s="292"/>
      <c r="O48" s="292"/>
      <c r="P48" s="292"/>
      <c r="Q48" s="292"/>
      <c r="R48" s="292"/>
      <c r="S48" s="292"/>
      <c r="T48" s="293"/>
      <c r="V48" s="224"/>
      <c r="W48" s="83"/>
      <c r="X48" s="83"/>
      <c r="Y48" s="83"/>
      <c r="Z48" s="83"/>
      <c r="AA48" s="83"/>
      <c r="AB48" s="83"/>
      <c r="AC48" s="83"/>
      <c r="AD48" s="83"/>
      <c r="AE48" s="83"/>
      <c r="AF48" s="223"/>
    </row>
    <row r="49" spans="2:33" ht="15" customHeight="1" x14ac:dyDescent="0.35">
      <c r="B49" s="282"/>
      <c r="C49" s="283"/>
      <c r="D49" s="283"/>
      <c r="E49" s="283"/>
      <c r="F49" s="283"/>
      <c r="G49" s="283"/>
      <c r="H49" s="283"/>
      <c r="I49" s="283"/>
      <c r="J49" s="284"/>
      <c r="L49" s="291"/>
      <c r="M49" s="292"/>
      <c r="N49" s="292"/>
      <c r="O49" s="292"/>
      <c r="P49" s="292"/>
      <c r="Q49" s="292"/>
      <c r="R49" s="292"/>
      <c r="S49" s="292"/>
      <c r="T49" s="293"/>
      <c r="V49" s="224"/>
      <c r="W49" s="83"/>
      <c r="X49" s="83"/>
      <c r="Y49" s="83"/>
      <c r="Z49" s="83"/>
      <c r="AA49" s="83"/>
      <c r="AB49" s="83"/>
      <c r="AC49" s="83"/>
      <c r="AD49" s="83"/>
      <c r="AE49" s="83"/>
      <c r="AF49" s="223"/>
    </row>
    <row r="50" spans="2:33" ht="36.65" customHeight="1" x14ac:dyDescent="0.35">
      <c r="B50" s="285"/>
      <c r="C50" s="286"/>
      <c r="D50" s="286"/>
      <c r="E50" s="286"/>
      <c r="F50" s="286"/>
      <c r="G50" s="286"/>
      <c r="H50" s="286"/>
      <c r="I50" s="286"/>
      <c r="J50" s="287"/>
      <c r="L50" s="294"/>
      <c r="M50" s="295"/>
      <c r="N50" s="295"/>
      <c r="O50" s="295"/>
      <c r="P50" s="295"/>
      <c r="Q50" s="295"/>
      <c r="R50" s="295"/>
      <c r="S50" s="295"/>
      <c r="T50" s="296"/>
      <c r="V50" s="225"/>
      <c r="W50" s="226"/>
      <c r="X50" s="226"/>
      <c r="Y50" s="226"/>
      <c r="Z50" s="226"/>
      <c r="AA50" s="226"/>
      <c r="AB50" s="226"/>
      <c r="AC50" s="226"/>
      <c r="AD50" s="226"/>
      <c r="AE50" s="226"/>
      <c r="AF50" s="227"/>
    </row>
    <row r="51" spans="2:33" x14ac:dyDescent="0.35">
      <c r="V51" s="83"/>
      <c r="W51" s="83"/>
      <c r="X51" s="83"/>
      <c r="Y51" s="83"/>
      <c r="Z51" s="83"/>
      <c r="AA51" s="83"/>
      <c r="AB51" s="83"/>
      <c r="AC51" s="83"/>
      <c r="AD51" s="83"/>
      <c r="AE51" s="83"/>
      <c r="AF51" s="83"/>
      <c r="AG51" s="83"/>
    </row>
    <row r="52" spans="2:33" x14ac:dyDescent="0.35">
      <c r="V52" s="83"/>
      <c r="W52" s="83"/>
      <c r="X52" s="83"/>
      <c r="Y52" s="83"/>
      <c r="Z52" s="83"/>
      <c r="AA52" s="83"/>
      <c r="AB52" s="83"/>
      <c r="AC52" s="83"/>
      <c r="AD52" s="83"/>
      <c r="AE52" s="83"/>
      <c r="AF52" s="83"/>
      <c r="AG52" s="83"/>
    </row>
    <row r="53" spans="2:33" x14ac:dyDescent="0.35">
      <c r="V53" s="83"/>
      <c r="W53" s="83"/>
      <c r="X53" s="83"/>
      <c r="Y53" s="83"/>
      <c r="Z53" s="83"/>
      <c r="AA53" s="83"/>
      <c r="AB53" s="83"/>
      <c r="AC53" s="83"/>
      <c r="AD53" s="83"/>
      <c r="AE53" s="83"/>
      <c r="AF53" s="83"/>
      <c r="AG53" s="83"/>
    </row>
  </sheetData>
  <sheetProtection algorithmName="SHA-512" hashValue="6TkYy1JNTc366AAxaMoK5pvF4VyZKasLAaQDBPklw7Z/eUjoQgPYADbtLNXXziaUvfI8eVHbH9h10bwPBq/apA==" saltValue="FARqNT25oz+ZO9FXfbyJ4Q=="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R119"/>
  <sheetViews>
    <sheetView showGridLines="0" zoomScale="80" zoomScaleNormal="80" workbookViewId="0">
      <selection sqref="A1:J1"/>
    </sheetView>
  </sheetViews>
  <sheetFormatPr defaultColWidth="9.1796875" defaultRowHeight="14" x14ac:dyDescent="0.4"/>
  <cols>
    <col min="1" max="1" width="51.1796875" style="2" customWidth="1"/>
    <col min="2" max="2" width="13.81640625" style="13" customWidth="1"/>
    <col min="3" max="3" width="13.1796875" style="2" customWidth="1"/>
    <col min="4" max="4" width="13.54296875" style="2" customWidth="1"/>
    <col min="5" max="5" width="13" style="2" customWidth="1"/>
    <col min="6" max="6" width="14.54296875" style="2" bestFit="1" customWidth="1"/>
    <col min="7" max="7" width="22.453125" style="2" bestFit="1" customWidth="1"/>
    <col min="8" max="8" width="10.26953125" style="2" customWidth="1"/>
    <col min="9" max="9" width="20" style="2" bestFit="1" customWidth="1"/>
    <col min="10" max="10" width="13.54296875" style="2" customWidth="1"/>
    <col min="11" max="11" width="9.1796875" style="2"/>
    <col min="12" max="12" width="22.81640625" style="2" bestFit="1" customWidth="1"/>
    <col min="13" max="13" width="10.26953125" style="2" bestFit="1" customWidth="1"/>
    <col min="14" max="14" width="9.1796875" style="2"/>
    <col min="15" max="15" width="12.1796875" style="2" bestFit="1" customWidth="1"/>
    <col min="16" max="16" width="11" style="2" bestFit="1" customWidth="1"/>
    <col min="17" max="16384" width="9.1796875" style="2"/>
  </cols>
  <sheetData>
    <row r="1" spans="1:17" ht="219.75" customHeight="1" x14ac:dyDescent="0.4">
      <c r="A1" s="305" t="s">
        <v>69</v>
      </c>
      <c r="B1" s="306"/>
      <c r="C1" s="306"/>
      <c r="D1" s="306"/>
      <c r="E1" s="306"/>
      <c r="F1" s="306"/>
      <c r="G1" s="306"/>
      <c r="H1" s="306"/>
      <c r="I1" s="306"/>
      <c r="J1" s="307"/>
      <c r="M1" s="304" t="s">
        <v>70</v>
      </c>
      <c r="N1" s="304"/>
      <c r="O1" s="304"/>
      <c r="P1" s="304"/>
      <c r="Q1" s="304"/>
    </row>
    <row r="2" spans="1:17" x14ac:dyDescent="0.4">
      <c r="A2" s="87"/>
      <c r="M2" s="303" t="s">
        <v>68</v>
      </c>
      <c r="N2" s="303"/>
      <c r="O2" s="303"/>
      <c r="P2" s="303"/>
      <c r="Q2" s="303"/>
    </row>
    <row r="3" spans="1:17" x14ac:dyDescent="0.4">
      <c r="B3" s="206" t="s">
        <v>15</v>
      </c>
      <c r="C3" s="207"/>
      <c r="D3" s="207"/>
      <c r="E3" s="208"/>
      <c r="M3" s="273" t="s">
        <v>9</v>
      </c>
      <c r="N3" s="274" t="s">
        <v>1</v>
      </c>
      <c r="O3" s="274" t="s">
        <v>2</v>
      </c>
      <c r="P3" s="274" t="s">
        <v>6</v>
      </c>
      <c r="Q3" s="275" t="s">
        <v>3</v>
      </c>
    </row>
    <row r="4" spans="1:17" x14ac:dyDescent="0.4">
      <c r="B4" s="209"/>
      <c r="C4" s="210"/>
      <c r="D4" s="210"/>
      <c r="E4" s="211"/>
      <c r="H4" s="221" t="s">
        <v>58</v>
      </c>
      <c r="I4" s="218" t="str">
        <f>IF(OR(J26=FALSE,J27=FALSE,J90=FALSE,J89=FALSE,J91=FALSE,J92=FALSE),"Not OK","OK")</f>
        <v>OK</v>
      </c>
      <c r="M4" s="272">
        <v>44620</v>
      </c>
      <c r="N4" s="357">
        <v>1.11995</v>
      </c>
      <c r="O4" s="357">
        <v>1.33945</v>
      </c>
      <c r="P4" s="357">
        <v>115.545</v>
      </c>
      <c r="Q4" s="358">
        <v>6.3138500000000004</v>
      </c>
    </row>
    <row r="5" spans="1:17" x14ac:dyDescent="0.4">
      <c r="B5" s="228"/>
      <c r="C5" s="210" t="s">
        <v>60</v>
      </c>
      <c r="D5" s="210"/>
      <c r="E5" s="211"/>
      <c r="M5" s="272">
        <f>WORKDAY(M4,1)</f>
        <v>44621</v>
      </c>
      <c r="N5" s="357">
        <v>1.11775</v>
      </c>
      <c r="O5" s="357">
        <v>1.3409</v>
      </c>
      <c r="P5" s="357">
        <v>114.815</v>
      </c>
      <c r="Q5" s="358">
        <v>6.3159999999999998</v>
      </c>
    </row>
    <row r="6" spans="1:17" x14ac:dyDescent="0.4">
      <c r="B6" s="212"/>
      <c r="C6" s="210" t="s">
        <v>63</v>
      </c>
      <c r="D6" s="210"/>
      <c r="E6" s="211"/>
      <c r="M6" s="272">
        <f t="shared" ref="M6:M69" si="0">WORKDAY(M5,1)</f>
        <v>44622</v>
      </c>
      <c r="N6" s="357">
        <v>1.10995</v>
      </c>
      <c r="O6" s="357">
        <v>1.3333999999999999</v>
      </c>
      <c r="P6" s="357">
        <v>115.25</v>
      </c>
      <c r="Q6" s="358">
        <v>6.3208500000000001</v>
      </c>
    </row>
    <row r="7" spans="1:17" x14ac:dyDescent="0.4">
      <c r="B7" s="213"/>
      <c r="C7" s="214" t="s">
        <v>61</v>
      </c>
      <c r="D7" s="214"/>
      <c r="E7" s="215"/>
      <c r="M7" s="272">
        <f t="shared" si="0"/>
        <v>44623</v>
      </c>
      <c r="N7" s="357">
        <v>1.1086499999999999</v>
      </c>
      <c r="O7" s="357">
        <v>1.3369500000000001</v>
      </c>
      <c r="P7" s="357">
        <v>115.755</v>
      </c>
      <c r="Q7" s="358">
        <v>6.3242000000000003</v>
      </c>
    </row>
    <row r="8" spans="1:17" x14ac:dyDescent="0.4">
      <c r="A8" s="17"/>
      <c r="B8" s="16"/>
      <c r="C8" s="17"/>
      <c r="D8" s="17"/>
      <c r="E8" s="17"/>
      <c r="F8" s="17"/>
      <c r="G8" s="17"/>
      <c r="H8" s="17"/>
      <c r="I8" s="17"/>
      <c r="M8" s="272">
        <f t="shared" si="0"/>
        <v>44624</v>
      </c>
      <c r="N8" s="357">
        <v>1.09755</v>
      </c>
      <c r="O8" s="357">
        <v>1.3286</v>
      </c>
      <c r="P8" s="357">
        <v>115.375</v>
      </c>
      <c r="Q8" s="358">
        <v>6.3243999999999998</v>
      </c>
    </row>
    <row r="9" spans="1:17" ht="17" x14ac:dyDescent="0.5">
      <c r="A9" s="70" t="s">
        <v>14</v>
      </c>
      <c r="B9" s="319" t="s">
        <v>5</v>
      </c>
      <c r="C9" s="320"/>
      <c r="D9" s="320"/>
      <c r="E9" s="320"/>
      <c r="F9" s="320"/>
      <c r="G9" s="320"/>
      <c r="H9" s="320"/>
      <c r="I9" s="321"/>
      <c r="J9" s="26"/>
      <c r="M9" s="272">
        <f t="shared" si="0"/>
        <v>44627</v>
      </c>
      <c r="N9" s="357">
        <v>1.08605</v>
      </c>
      <c r="O9" s="357">
        <v>1.3169</v>
      </c>
      <c r="P9" s="357">
        <v>115.095</v>
      </c>
      <c r="Q9" s="358">
        <v>6.3228499999999999</v>
      </c>
    </row>
    <row r="10" spans="1:17" ht="20.25" customHeight="1" x14ac:dyDescent="0.45">
      <c r="A10" s="313" t="s">
        <v>23</v>
      </c>
      <c r="B10" s="315" t="s">
        <v>25</v>
      </c>
      <c r="C10" s="18"/>
      <c r="D10" s="71"/>
      <c r="E10" s="317">
        <v>44757</v>
      </c>
      <c r="F10" s="333" t="s">
        <v>36</v>
      </c>
      <c r="G10" s="333"/>
      <c r="H10" s="333"/>
      <c r="I10" s="334"/>
      <c r="J10" s="26"/>
      <c r="M10" s="272">
        <f t="shared" si="0"/>
        <v>44628</v>
      </c>
      <c r="N10" s="357">
        <v>1.0893999999999999</v>
      </c>
      <c r="O10" s="357">
        <v>1.31185</v>
      </c>
      <c r="P10" s="357">
        <v>115.63500000000001</v>
      </c>
      <c r="Q10" s="358">
        <v>6.3203500000000004</v>
      </c>
    </row>
    <row r="11" spans="1:17" ht="14.5" customHeight="1" x14ac:dyDescent="0.45">
      <c r="A11" s="314"/>
      <c r="B11" s="316"/>
      <c r="C11" s="17"/>
      <c r="D11" s="69"/>
      <c r="E11" s="318"/>
      <c r="F11" s="335"/>
      <c r="G11" s="335"/>
      <c r="H11" s="335"/>
      <c r="I11" s="336"/>
      <c r="J11" s="26"/>
      <c r="M11" s="272">
        <f t="shared" si="0"/>
        <v>44629</v>
      </c>
      <c r="N11" s="357">
        <v>1.0971500000000001</v>
      </c>
      <c r="O11" s="357">
        <v>1.3148</v>
      </c>
      <c r="P11" s="357">
        <v>115.925</v>
      </c>
      <c r="Q11" s="358">
        <v>6.32395</v>
      </c>
    </row>
    <row r="12" spans="1:17" ht="14.5" customHeight="1" x14ac:dyDescent="0.4">
      <c r="A12" s="86"/>
      <c r="B12" s="22"/>
      <c r="C12" s="12"/>
      <c r="D12" s="12"/>
      <c r="E12" s="12"/>
      <c r="F12" s="12"/>
      <c r="G12" s="12"/>
      <c r="H12" s="12"/>
      <c r="I12" s="86"/>
      <c r="J12" s="26"/>
      <c r="M12" s="272">
        <f t="shared" si="0"/>
        <v>44630</v>
      </c>
      <c r="N12" s="357">
        <v>1.10405</v>
      </c>
      <c r="O12" s="357">
        <v>1.3159000000000001</v>
      </c>
      <c r="P12" s="357">
        <v>115.955</v>
      </c>
      <c r="Q12" s="358">
        <v>6.3288500000000001</v>
      </c>
    </row>
    <row r="13" spans="1:17" ht="32.25" customHeight="1" x14ac:dyDescent="0.4">
      <c r="A13" s="222" t="s">
        <v>64</v>
      </c>
      <c r="B13" s="337" t="s">
        <v>0</v>
      </c>
      <c r="E13" s="330">
        <v>1.30931</v>
      </c>
      <c r="F13" s="308"/>
      <c r="G13" s="308"/>
      <c r="H13" s="308"/>
      <c r="I13" s="309"/>
      <c r="J13" s="26"/>
      <c r="M13" s="272">
        <f t="shared" si="0"/>
        <v>44631</v>
      </c>
      <c r="N13" s="357">
        <v>1.1012999999999999</v>
      </c>
      <c r="O13" s="357">
        <v>1.3109</v>
      </c>
      <c r="P13" s="357">
        <v>116.895</v>
      </c>
      <c r="Q13" s="358">
        <v>6.34335</v>
      </c>
    </row>
    <row r="14" spans="1:17" ht="15" x14ac:dyDescent="0.4">
      <c r="A14" s="230" t="s">
        <v>21</v>
      </c>
      <c r="B14" s="338"/>
      <c r="C14" s="17"/>
      <c r="D14" s="17"/>
      <c r="E14" s="331"/>
      <c r="F14" s="310"/>
      <c r="G14" s="310"/>
      <c r="H14" s="310"/>
      <c r="I14" s="311"/>
      <c r="J14" s="26"/>
      <c r="M14" s="272">
        <f t="shared" si="0"/>
        <v>44634</v>
      </c>
      <c r="N14" s="357">
        <v>1.0944499999999999</v>
      </c>
      <c r="O14" s="357">
        <v>1.3026</v>
      </c>
      <c r="P14" s="357">
        <v>117.955</v>
      </c>
      <c r="Q14" s="358">
        <v>6.3821500000000002</v>
      </c>
    </row>
    <row r="15" spans="1:17" x14ac:dyDescent="0.4">
      <c r="A15" s="11"/>
      <c r="B15" s="22"/>
      <c r="D15" s="10"/>
      <c r="E15" s="11"/>
      <c r="I15" s="19"/>
      <c r="J15" s="26"/>
      <c r="M15" s="272">
        <f t="shared" si="0"/>
        <v>44635</v>
      </c>
      <c r="N15" s="357">
        <v>1.0987499999999999</v>
      </c>
      <c r="O15" s="357">
        <v>1.3055000000000001</v>
      </c>
      <c r="P15" s="357">
        <v>117.88</v>
      </c>
      <c r="Q15" s="358">
        <v>6.4086499999999997</v>
      </c>
    </row>
    <row r="16" spans="1:17" ht="15" customHeight="1" x14ac:dyDescent="0.4">
      <c r="A16" s="326" t="s">
        <v>75</v>
      </c>
      <c r="B16" s="315" t="s">
        <v>8</v>
      </c>
      <c r="C16" s="323" t="s">
        <v>7</v>
      </c>
      <c r="D16" s="323"/>
      <c r="E16" s="260">
        <v>43.38</v>
      </c>
      <c r="F16" s="18"/>
      <c r="G16" s="18"/>
      <c r="H16" s="18"/>
      <c r="J16" s="26"/>
      <c r="M16" s="272">
        <f t="shared" si="0"/>
        <v>44636</v>
      </c>
      <c r="N16" s="357">
        <v>1.1012500000000001</v>
      </c>
      <c r="O16" s="357">
        <v>1.3091999999999999</v>
      </c>
      <c r="P16" s="357">
        <v>118.24</v>
      </c>
      <c r="Q16" s="358">
        <v>6.3655999999999997</v>
      </c>
    </row>
    <row r="17" spans="1:70" ht="15" customHeight="1" x14ac:dyDescent="0.4">
      <c r="A17" s="327"/>
      <c r="B17" s="322"/>
      <c r="C17" s="324" t="s">
        <v>1</v>
      </c>
      <c r="D17" s="324"/>
      <c r="E17" s="261">
        <v>29.31</v>
      </c>
      <c r="J17" s="26"/>
      <c r="M17" s="272">
        <f t="shared" si="0"/>
        <v>44637</v>
      </c>
      <c r="N17" s="357">
        <v>1.10555</v>
      </c>
      <c r="O17" s="357">
        <v>1.31555</v>
      </c>
      <c r="P17" s="357">
        <v>118.63500000000001</v>
      </c>
      <c r="Q17" s="358">
        <v>6.3655999999999997</v>
      </c>
    </row>
    <row r="18" spans="1:70" ht="15" customHeight="1" x14ac:dyDescent="0.4">
      <c r="A18" s="327"/>
      <c r="B18" s="322"/>
      <c r="C18" s="324" t="s">
        <v>2</v>
      </c>
      <c r="D18" s="324"/>
      <c r="E18" s="261">
        <v>7.44</v>
      </c>
      <c r="J18" s="26"/>
      <c r="M18" s="272">
        <f t="shared" si="0"/>
        <v>44638</v>
      </c>
      <c r="N18" s="357">
        <v>1.1023000000000001</v>
      </c>
      <c r="O18" s="357">
        <v>1.3129500000000001</v>
      </c>
      <c r="P18" s="357">
        <v>119.06</v>
      </c>
      <c r="Q18" s="358">
        <v>6.3733000000000004</v>
      </c>
    </row>
    <row r="19" spans="1:70" ht="15" customHeight="1" x14ac:dyDescent="0.4">
      <c r="A19" s="327"/>
      <c r="B19" s="322"/>
      <c r="C19" s="324" t="s">
        <v>6</v>
      </c>
      <c r="D19" s="324"/>
      <c r="E19" s="261">
        <v>7.59</v>
      </c>
      <c r="J19" s="26"/>
      <c r="M19" s="272">
        <f t="shared" si="0"/>
        <v>44641</v>
      </c>
      <c r="N19" s="357">
        <v>1.10355</v>
      </c>
      <c r="O19" s="357">
        <v>1.3143</v>
      </c>
      <c r="P19" s="357">
        <v>119.175</v>
      </c>
      <c r="Q19" s="358">
        <v>6.3671499999999996</v>
      </c>
    </row>
    <row r="20" spans="1:70" ht="15" customHeight="1" x14ac:dyDescent="0.4">
      <c r="A20" s="328"/>
      <c r="B20" s="316"/>
      <c r="C20" s="325" t="s">
        <v>3</v>
      </c>
      <c r="D20" s="325"/>
      <c r="E20" s="262">
        <v>12.28</v>
      </c>
      <c r="F20" s="17"/>
      <c r="G20" s="17"/>
      <c r="H20" s="17"/>
      <c r="I20" s="19"/>
      <c r="J20" s="26"/>
      <c r="M20" s="272">
        <f t="shared" si="0"/>
        <v>44642</v>
      </c>
      <c r="N20" s="357">
        <v>1.1002000000000001</v>
      </c>
      <c r="O20" s="357">
        <v>1.3221499999999999</v>
      </c>
      <c r="P20" s="357">
        <v>120.80500000000001</v>
      </c>
      <c r="Q20" s="358">
        <v>6.3764500000000002</v>
      </c>
    </row>
    <row r="21" spans="1:70" x14ac:dyDescent="0.4">
      <c r="A21" s="11"/>
      <c r="B21" s="22"/>
      <c r="C21" s="1"/>
      <c r="D21" s="263"/>
      <c r="J21" s="26"/>
      <c r="M21" s="272">
        <f t="shared" si="0"/>
        <v>44643</v>
      </c>
      <c r="N21" s="357">
        <v>1.0984499999999999</v>
      </c>
      <c r="O21" s="357">
        <v>1.3204</v>
      </c>
      <c r="P21" s="357">
        <v>120.845</v>
      </c>
      <c r="Q21" s="358">
        <v>6.3868999999999998</v>
      </c>
    </row>
    <row r="22" spans="1:70" ht="15" customHeight="1" x14ac:dyDescent="0.4">
      <c r="A22" s="3"/>
      <c r="B22" s="23"/>
      <c r="C22" s="332" t="s">
        <v>62</v>
      </c>
      <c r="D22" s="332"/>
      <c r="E22" s="231">
        <f>WORKDAY(EDATE($E$10,-3),1)</f>
        <v>44669</v>
      </c>
      <c r="G22" s="17"/>
      <c r="H22" s="17"/>
      <c r="I22" s="19"/>
      <c r="J22" s="26"/>
      <c r="M22" s="272">
        <f t="shared" si="0"/>
        <v>44644</v>
      </c>
      <c r="N22" s="357">
        <v>1.0988</v>
      </c>
      <c r="O22" s="357">
        <v>1.3202499999999999</v>
      </c>
      <c r="P22" s="357">
        <v>121.58499999999999</v>
      </c>
      <c r="Q22" s="358">
        <v>6.3837000000000002</v>
      </c>
    </row>
    <row r="23" spans="1:70" ht="14.25" customHeight="1" x14ac:dyDescent="0.4">
      <c r="B23" s="339" t="s">
        <v>10</v>
      </c>
      <c r="C23" s="340"/>
      <c r="D23" s="340"/>
      <c r="E23" s="340"/>
      <c r="F23" s="340"/>
      <c r="G23" s="340"/>
      <c r="H23" s="340"/>
      <c r="I23" s="341"/>
      <c r="J23" s="26"/>
      <c r="M23" s="272">
        <f t="shared" si="0"/>
        <v>44645</v>
      </c>
      <c r="N23" s="357">
        <v>1.1016999999999999</v>
      </c>
      <c r="O23" s="357">
        <v>1.31965</v>
      </c>
      <c r="P23" s="357">
        <v>121.65</v>
      </c>
      <c r="Q23" s="358">
        <v>6.3745000000000003</v>
      </c>
    </row>
    <row r="24" spans="1:70" x14ac:dyDescent="0.4">
      <c r="B24" s="217" t="s">
        <v>9</v>
      </c>
      <c r="C24" s="20" t="s">
        <v>7</v>
      </c>
      <c r="D24" s="20" t="s">
        <v>1</v>
      </c>
      <c r="E24" s="20" t="s">
        <v>2</v>
      </c>
      <c r="F24" s="20" t="s">
        <v>6</v>
      </c>
      <c r="G24" s="20" t="str">
        <f>"1/JPY"</f>
        <v>1/JPY</v>
      </c>
      <c r="H24" s="20" t="s">
        <v>3</v>
      </c>
      <c r="I24" s="21" t="str">
        <f>"1/RMB"</f>
        <v>1/RMB</v>
      </c>
      <c r="J24" s="26"/>
      <c r="M24" s="272">
        <f t="shared" si="0"/>
        <v>44648</v>
      </c>
      <c r="N24" s="357">
        <v>1.0989500000000001</v>
      </c>
      <c r="O24" s="357">
        <v>1.31565</v>
      </c>
      <c r="P24" s="357">
        <v>124.23</v>
      </c>
      <c r="Q24" s="358">
        <v>6.38225</v>
      </c>
    </row>
    <row r="25" spans="1:70" x14ac:dyDescent="0.4">
      <c r="A25" s="216" t="s">
        <v>12</v>
      </c>
      <c r="B25" s="116" t="s">
        <v>13</v>
      </c>
      <c r="C25" s="117">
        <f t="shared" ref="C25:I25" si="1">AVERAGE(C27:C92)</f>
        <v>1</v>
      </c>
      <c r="D25" s="198">
        <f>AVERAGE(D27:D92)</f>
        <v>1.0532638461538464</v>
      </c>
      <c r="E25" s="199">
        <f t="shared" si="1"/>
        <v>1.2381038461538467</v>
      </c>
      <c r="F25" s="254"/>
      <c r="G25" s="200">
        <f t="shared" si="1"/>
        <v>7.5935552874000552E-3</v>
      </c>
      <c r="H25" s="253"/>
      <c r="I25" s="201">
        <f t="shared" si="1"/>
        <v>0.14967984117901617</v>
      </c>
      <c r="J25" s="26"/>
      <c r="M25" s="272">
        <f t="shared" si="0"/>
        <v>44649</v>
      </c>
      <c r="N25" s="357">
        <v>1.1045499999999999</v>
      </c>
      <c r="O25" s="357">
        <v>1.30965</v>
      </c>
      <c r="P25" s="357">
        <v>123.51</v>
      </c>
      <c r="Q25" s="358">
        <v>6.3811499999999999</v>
      </c>
    </row>
    <row r="26" spans="1:70" x14ac:dyDescent="0.4">
      <c r="A26" s="24"/>
      <c r="B26" s="25"/>
      <c r="C26" s="114"/>
      <c r="D26" s="139">
        <f>COUNT(D27:D92)</f>
        <v>65</v>
      </c>
      <c r="E26" s="139">
        <f>COUNT(E27:E92)</f>
        <v>65</v>
      </c>
      <c r="F26" s="139"/>
      <c r="G26" s="114">
        <f>COUNT(G27:G92)</f>
        <v>65</v>
      </c>
      <c r="H26" s="139"/>
      <c r="I26" s="114">
        <f>COUNT(I27:I92)</f>
        <v>65</v>
      </c>
      <c r="J26" s="219" t="b">
        <f>AND($I$26=$G$26,$I$26=$E$26,$I$26=$D$26)</f>
        <v>1</v>
      </c>
      <c r="K26" s="2" t="s">
        <v>37</v>
      </c>
      <c r="M26" s="272">
        <f t="shared" si="0"/>
        <v>44650</v>
      </c>
      <c r="N26" s="357">
        <v>1.1127499999999999</v>
      </c>
      <c r="O26" s="357">
        <v>1.3138000000000001</v>
      </c>
      <c r="P26" s="357">
        <v>121.925</v>
      </c>
      <c r="Q26" s="358">
        <v>6.3612500000000001</v>
      </c>
    </row>
    <row r="27" spans="1:70" ht="12" customHeight="1" x14ac:dyDescent="0.4">
      <c r="A27" s="216" t="s">
        <v>11</v>
      </c>
      <c r="B27" s="192">
        <f>$E$10</f>
        <v>44757</v>
      </c>
      <c r="C27" s="193">
        <v>1</v>
      </c>
      <c r="D27" s="202">
        <f t="shared" ref="D27:D58" si="2">VLOOKUP(B27,$M:$Q,2,FALSE)</f>
        <v>1.0057499999999999</v>
      </c>
      <c r="E27" s="202">
        <f t="shared" ref="E27:E58" si="3">VLOOKUP(B27,$M:$Q,3,FALSE)</f>
        <v>1.1839500000000001</v>
      </c>
      <c r="F27" s="203">
        <f t="shared" ref="F27:F58" si="4">VLOOKUP(B27,$M:$Q,4,FALSE)</f>
        <v>138.69499999999999</v>
      </c>
      <c r="G27" s="134">
        <f>1/F27</f>
        <v>7.2100652510905224E-3</v>
      </c>
      <c r="H27" s="205">
        <f t="shared" ref="H27:H58" si="5">VLOOKUP(B27,$M:$Q,5,FALSE)</f>
        <v>6.7692500000000004</v>
      </c>
      <c r="I27" s="135">
        <f>1/H27</f>
        <v>0.14772685304871291</v>
      </c>
      <c r="J27" s="220" t="b">
        <f>$B$27=$E$10</f>
        <v>1</v>
      </c>
      <c r="K27" s="15" t="s">
        <v>39</v>
      </c>
      <c r="L27" s="15"/>
      <c r="M27" s="272">
        <f t="shared" si="0"/>
        <v>44651</v>
      </c>
      <c r="N27" s="357">
        <v>1.10955</v>
      </c>
      <c r="O27" s="357">
        <v>1.3125500000000001</v>
      </c>
      <c r="P27" s="357">
        <v>121.685</v>
      </c>
      <c r="Q27" s="358">
        <v>6.3506</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4">
      <c r="B28" s="232">
        <f>WORKDAY(B27,-1)</f>
        <v>44756</v>
      </c>
      <c r="C28" s="233">
        <v>1</v>
      </c>
      <c r="D28" s="234">
        <f t="shared" si="2"/>
        <v>1.0016499999999999</v>
      </c>
      <c r="E28" s="234">
        <f t="shared" si="3"/>
        <v>1.1826000000000001</v>
      </c>
      <c r="F28" s="235">
        <f t="shared" si="4"/>
        <v>139.07499999999999</v>
      </c>
      <c r="G28" s="236">
        <f>1/F28</f>
        <v>7.1903649110192352E-3</v>
      </c>
      <c r="H28" s="234">
        <f t="shared" si="5"/>
        <v>6.7627499999999996</v>
      </c>
      <c r="I28" s="237">
        <f>1/H28</f>
        <v>0.14786884033861966</v>
      </c>
      <c r="M28" s="272">
        <f t="shared" si="0"/>
        <v>44652</v>
      </c>
      <c r="N28" s="357">
        <v>1.1064499999999999</v>
      </c>
      <c r="O28" s="357">
        <v>1.3141</v>
      </c>
      <c r="P28" s="357">
        <v>122.425</v>
      </c>
      <c r="Q28" s="358">
        <v>6.3648999999999996</v>
      </c>
    </row>
    <row r="29" spans="1:70" x14ac:dyDescent="0.4">
      <c r="A29" s="312" t="s">
        <v>67</v>
      </c>
      <c r="B29" s="194">
        <f t="shared" ref="B29:B86" si="6">WORKDAY(B28,-1)</f>
        <v>44755</v>
      </c>
      <c r="C29" s="197">
        <v>1</v>
      </c>
      <c r="D29" s="195">
        <f t="shared" si="2"/>
        <v>1.006</v>
      </c>
      <c r="E29" s="195">
        <f t="shared" si="3"/>
        <v>1.1915</v>
      </c>
      <c r="F29" s="196">
        <f t="shared" si="4"/>
        <v>137.04499999999999</v>
      </c>
      <c r="G29" s="140">
        <f t="shared" ref="G29:G86" si="7">1/F29</f>
        <v>7.2968732897953237E-3</v>
      </c>
      <c r="H29" s="195">
        <f t="shared" si="5"/>
        <v>6.72905</v>
      </c>
      <c r="I29" s="238">
        <f t="shared" ref="I29:I86" si="8">1/H29</f>
        <v>0.14860938765501816</v>
      </c>
      <c r="J29" s="265"/>
      <c r="M29" s="272">
        <f t="shared" si="0"/>
        <v>44655</v>
      </c>
      <c r="N29" s="357">
        <v>1.10015</v>
      </c>
      <c r="O29" s="357">
        <v>1.30965</v>
      </c>
      <c r="P29" s="357">
        <v>122.82</v>
      </c>
      <c r="Q29" s="358">
        <v>6.3760000000000003</v>
      </c>
    </row>
    <row r="30" spans="1:70" x14ac:dyDescent="0.4">
      <c r="A30" s="312"/>
      <c r="B30" s="194">
        <f t="shared" si="6"/>
        <v>44754</v>
      </c>
      <c r="C30" s="197">
        <v>1</v>
      </c>
      <c r="D30" s="195">
        <f t="shared" si="2"/>
        <v>1.0020500000000001</v>
      </c>
      <c r="E30" s="195">
        <f t="shared" si="3"/>
        <v>1.18455</v>
      </c>
      <c r="F30" s="196">
        <f t="shared" si="4"/>
        <v>136.845</v>
      </c>
      <c r="G30" s="140">
        <f t="shared" si="7"/>
        <v>7.3075377251635059E-3</v>
      </c>
      <c r="H30" s="195">
        <f t="shared" si="5"/>
        <v>6.7404500000000001</v>
      </c>
      <c r="I30" s="238">
        <f t="shared" si="8"/>
        <v>0.14835804731138127</v>
      </c>
      <c r="J30" s="265"/>
      <c r="M30" s="272">
        <f t="shared" si="0"/>
        <v>44656</v>
      </c>
      <c r="N30" s="357">
        <v>1.0970500000000001</v>
      </c>
      <c r="O30" s="357">
        <v>1.3129</v>
      </c>
      <c r="P30" s="357">
        <v>122.91500000000001</v>
      </c>
      <c r="Q30" s="358">
        <v>6.3699000000000003</v>
      </c>
    </row>
    <row r="31" spans="1:70" x14ac:dyDescent="0.4">
      <c r="A31" s="312"/>
      <c r="B31" s="194">
        <f t="shared" si="6"/>
        <v>44753</v>
      </c>
      <c r="C31" s="197">
        <v>1</v>
      </c>
      <c r="D31" s="195">
        <f t="shared" si="2"/>
        <v>1.01145</v>
      </c>
      <c r="E31" s="195">
        <f t="shared" si="3"/>
        <v>1.1958</v>
      </c>
      <c r="F31" s="196">
        <f t="shared" si="4"/>
        <v>137.065</v>
      </c>
      <c r="G31" s="140">
        <f t="shared" si="7"/>
        <v>7.2958085579834389E-3</v>
      </c>
      <c r="H31" s="195">
        <f t="shared" si="5"/>
        <v>6.7092999999999998</v>
      </c>
      <c r="I31" s="238">
        <f t="shared" si="8"/>
        <v>0.14904684542351662</v>
      </c>
      <c r="M31" s="272">
        <f t="shared" si="0"/>
        <v>44657</v>
      </c>
      <c r="N31" s="357">
        <v>1.09145</v>
      </c>
      <c r="O31" s="357">
        <v>1.3082499999999999</v>
      </c>
      <c r="P31" s="357">
        <v>123.955</v>
      </c>
      <c r="Q31" s="358">
        <v>6.3693</v>
      </c>
    </row>
    <row r="32" spans="1:70" x14ac:dyDescent="0.4">
      <c r="A32" s="312"/>
      <c r="B32" s="194">
        <f>WORKDAY(B31,-1)</f>
        <v>44750</v>
      </c>
      <c r="C32" s="197">
        <v>1</v>
      </c>
      <c r="D32" s="195">
        <f t="shared" si="2"/>
        <v>1.0139499999999999</v>
      </c>
      <c r="E32" s="195">
        <f t="shared" si="3"/>
        <v>1.19875</v>
      </c>
      <c r="F32" s="196">
        <f t="shared" si="4"/>
        <v>135.89500000000001</v>
      </c>
      <c r="G32" s="140">
        <f t="shared" si="7"/>
        <v>7.3586224658743881E-3</v>
      </c>
      <c r="H32" s="195">
        <f t="shared" si="5"/>
        <v>6.7026500000000002</v>
      </c>
      <c r="I32" s="238">
        <f t="shared" si="8"/>
        <v>0.14919472149075366</v>
      </c>
      <c r="M32" s="272">
        <f t="shared" si="0"/>
        <v>44658</v>
      </c>
      <c r="N32" s="357">
        <v>1.08945</v>
      </c>
      <c r="O32" s="357">
        <v>1.3071999999999999</v>
      </c>
      <c r="P32" s="357">
        <v>123.83</v>
      </c>
      <c r="Q32" s="358">
        <v>6.3654999999999999</v>
      </c>
    </row>
    <row r="33" spans="1:17" x14ac:dyDescent="0.4">
      <c r="A33" s="312"/>
      <c r="B33" s="194">
        <f t="shared" si="6"/>
        <v>44749</v>
      </c>
      <c r="C33" s="197">
        <v>1</v>
      </c>
      <c r="D33" s="195">
        <f t="shared" si="2"/>
        <v>1.0188999999999999</v>
      </c>
      <c r="E33" s="195">
        <f t="shared" si="3"/>
        <v>1.1990000000000001</v>
      </c>
      <c r="F33" s="196">
        <f t="shared" si="4"/>
        <v>135.86500000000001</v>
      </c>
      <c r="G33" s="140">
        <f t="shared" si="7"/>
        <v>7.3602473043094243E-3</v>
      </c>
      <c r="H33" s="195">
        <f t="shared" si="5"/>
        <v>6.7062999999999997</v>
      </c>
      <c r="I33" s="238">
        <f t="shared" si="8"/>
        <v>0.14911352012286955</v>
      </c>
      <c r="M33" s="272">
        <f t="shared" si="0"/>
        <v>44659</v>
      </c>
      <c r="N33" s="357">
        <v>1.0885</v>
      </c>
      <c r="O33" s="357">
        <v>1.3042</v>
      </c>
      <c r="P33" s="357">
        <v>124.095</v>
      </c>
      <c r="Q33" s="358">
        <v>6.3677000000000001</v>
      </c>
    </row>
    <row r="34" spans="1:17" x14ac:dyDescent="0.4">
      <c r="A34" s="312"/>
      <c r="B34" s="194">
        <f t="shared" si="6"/>
        <v>44748</v>
      </c>
      <c r="C34" s="197">
        <v>1</v>
      </c>
      <c r="D34" s="195">
        <f t="shared" si="2"/>
        <v>1.0196499999999999</v>
      </c>
      <c r="E34" s="195">
        <f t="shared" si="3"/>
        <v>1.1918500000000001</v>
      </c>
      <c r="F34" s="196">
        <f t="shared" si="4"/>
        <v>135.38499999999999</v>
      </c>
      <c r="G34" s="140">
        <f t="shared" si="7"/>
        <v>7.3863426524356469E-3</v>
      </c>
      <c r="H34" s="195">
        <f t="shared" si="5"/>
        <v>6.7110000000000003</v>
      </c>
      <c r="I34" s="238">
        <f t="shared" si="8"/>
        <v>0.14900908955446282</v>
      </c>
      <c r="M34" s="272">
        <f t="shared" si="0"/>
        <v>44662</v>
      </c>
      <c r="N34" s="357">
        <v>1.0911999999999999</v>
      </c>
      <c r="O34" s="357">
        <v>1.3046</v>
      </c>
      <c r="P34" s="357">
        <v>125.47499999999999</v>
      </c>
      <c r="Q34" s="358">
        <v>6.3807999999999998</v>
      </c>
    </row>
    <row r="35" spans="1:17" x14ac:dyDescent="0.4">
      <c r="A35" s="312"/>
      <c r="B35" s="194">
        <f t="shared" si="6"/>
        <v>44747</v>
      </c>
      <c r="C35" s="197">
        <v>1</v>
      </c>
      <c r="D35" s="195">
        <f t="shared" si="2"/>
        <v>1.0298499999999999</v>
      </c>
      <c r="E35" s="195">
        <f t="shared" si="3"/>
        <v>1.2022999999999999</v>
      </c>
      <c r="F35" s="196">
        <f t="shared" si="4"/>
        <v>135.97999999999999</v>
      </c>
      <c r="G35" s="140">
        <f t="shared" si="7"/>
        <v>7.3540226503897637E-3</v>
      </c>
      <c r="H35" s="195">
        <f t="shared" si="5"/>
        <v>6.7061000000000002</v>
      </c>
      <c r="I35" s="238">
        <f t="shared" si="8"/>
        <v>0.1491179672238708</v>
      </c>
      <c r="M35" s="272">
        <f t="shared" si="0"/>
        <v>44663</v>
      </c>
      <c r="N35" s="357">
        <v>1.0867500000000001</v>
      </c>
      <c r="O35" s="357">
        <v>1.3015000000000001</v>
      </c>
      <c r="P35" s="357">
        <v>125.58499999999999</v>
      </c>
      <c r="Q35" s="358">
        <v>6.3798000000000004</v>
      </c>
    </row>
    <row r="36" spans="1:17" x14ac:dyDescent="0.4">
      <c r="A36" s="312"/>
      <c r="B36" s="194">
        <f t="shared" si="6"/>
        <v>44746</v>
      </c>
      <c r="C36" s="197">
        <v>1</v>
      </c>
      <c r="D36" s="195">
        <f t="shared" si="2"/>
        <v>1.04525</v>
      </c>
      <c r="E36" s="195">
        <f t="shared" si="3"/>
        <v>1.214</v>
      </c>
      <c r="F36" s="196">
        <f t="shared" si="4"/>
        <v>135.38499999999999</v>
      </c>
      <c r="G36" s="140">
        <f t="shared" si="7"/>
        <v>7.3863426524356469E-3</v>
      </c>
      <c r="H36" s="195">
        <f t="shared" si="5"/>
        <v>6.6870500000000002</v>
      </c>
      <c r="I36" s="238">
        <f t="shared" si="8"/>
        <v>0.1495427729716392</v>
      </c>
      <c r="M36" s="272">
        <f t="shared" si="0"/>
        <v>44664</v>
      </c>
      <c r="N36" s="357">
        <v>1.0827500000000001</v>
      </c>
      <c r="O36" s="357">
        <v>1.3003499999999999</v>
      </c>
      <c r="P36" s="357">
        <v>126.045</v>
      </c>
      <c r="Q36" s="358">
        <v>6.3742000000000001</v>
      </c>
    </row>
    <row r="37" spans="1:17" x14ac:dyDescent="0.4">
      <c r="A37" s="312"/>
      <c r="B37" s="194">
        <f t="shared" si="6"/>
        <v>44743</v>
      </c>
      <c r="C37" s="197">
        <v>1</v>
      </c>
      <c r="D37" s="195">
        <f t="shared" si="2"/>
        <v>1.04515</v>
      </c>
      <c r="E37" s="195">
        <f t="shared" si="3"/>
        <v>1.2056</v>
      </c>
      <c r="F37" s="196">
        <f t="shared" si="4"/>
        <v>135.345</v>
      </c>
      <c r="G37" s="140">
        <f t="shared" si="7"/>
        <v>7.3885256197125868E-3</v>
      </c>
      <c r="H37" s="195">
        <f t="shared" si="5"/>
        <v>6.7082499999999996</v>
      </c>
      <c r="I37" s="238">
        <f t="shared" si="8"/>
        <v>0.14907017478477994</v>
      </c>
      <c r="M37" s="272">
        <f t="shared" si="0"/>
        <v>44665</v>
      </c>
      <c r="N37" s="357">
        <v>1.0906499999999999</v>
      </c>
      <c r="O37" s="357">
        <v>1.3130999999999999</v>
      </c>
      <c r="P37" s="357">
        <v>125.26</v>
      </c>
      <c r="Q37" s="358">
        <v>6.3814500000000001</v>
      </c>
    </row>
    <row r="38" spans="1:17" x14ac:dyDescent="0.4">
      <c r="A38" s="312"/>
      <c r="B38" s="194">
        <f t="shared" si="6"/>
        <v>44742</v>
      </c>
      <c r="C38" s="197">
        <v>1</v>
      </c>
      <c r="D38" s="195">
        <f t="shared" si="2"/>
        <v>1.0401499999999999</v>
      </c>
      <c r="E38" s="195">
        <f t="shared" si="3"/>
        <v>1.2109000000000001</v>
      </c>
      <c r="F38" s="196">
        <f t="shared" si="4"/>
        <v>136.38499999999999</v>
      </c>
      <c r="G38" s="140">
        <f t="shared" si="7"/>
        <v>7.3321846244088435E-3</v>
      </c>
      <c r="H38" s="195">
        <f t="shared" si="5"/>
        <v>6.7066499999999998</v>
      </c>
      <c r="I38" s="238">
        <f t="shared" si="8"/>
        <v>0.14910573833433979</v>
      </c>
      <c r="M38" s="272">
        <f t="shared" si="0"/>
        <v>44666</v>
      </c>
      <c r="N38" s="357">
        <v>1.0808500000000001</v>
      </c>
      <c r="O38" s="357">
        <v>1.3062499999999999</v>
      </c>
      <c r="P38" s="357">
        <v>126.345</v>
      </c>
      <c r="Q38" s="358">
        <v>6.3807</v>
      </c>
    </row>
    <row r="39" spans="1:17" x14ac:dyDescent="0.4">
      <c r="A39" s="312"/>
      <c r="B39" s="194">
        <f t="shared" si="6"/>
        <v>44741</v>
      </c>
      <c r="C39" s="197">
        <v>1</v>
      </c>
      <c r="D39" s="195">
        <f t="shared" si="2"/>
        <v>1.0521499999999999</v>
      </c>
      <c r="E39" s="195">
        <f t="shared" si="3"/>
        <v>1.2157500000000001</v>
      </c>
      <c r="F39" s="196">
        <f t="shared" si="4"/>
        <v>136.535</v>
      </c>
      <c r="G39" s="140">
        <f t="shared" si="7"/>
        <v>7.3241293441242174E-3</v>
      </c>
      <c r="H39" s="195">
        <f t="shared" si="5"/>
        <v>6.70045</v>
      </c>
      <c r="I39" s="238">
        <f t="shared" si="8"/>
        <v>0.14924370751218202</v>
      </c>
      <c r="M39" s="272">
        <f t="shared" si="0"/>
        <v>44669</v>
      </c>
      <c r="N39" s="357">
        <v>1.0801499999999999</v>
      </c>
      <c r="O39" s="357">
        <v>1.3028</v>
      </c>
      <c r="P39" s="357">
        <v>126.61499999999999</v>
      </c>
      <c r="Q39" s="358">
        <v>6.3756000000000004</v>
      </c>
    </row>
    <row r="40" spans="1:17" x14ac:dyDescent="0.4">
      <c r="A40" s="312"/>
      <c r="B40" s="194">
        <f t="shared" si="6"/>
        <v>44740</v>
      </c>
      <c r="C40" s="197">
        <v>1</v>
      </c>
      <c r="D40" s="195">
        <f t="shared" si="2"/>
        <v>1.05785</v>
      </c>
      <c r="E40" s="195">
        <f t="shared" si="3"/>
        <v>1.2241</v>
      </c>
      <c r="F40" s="196">
        <f t="shared" si="4"/>
        <v>136.155</v>
      </c>
      <c r="G40" s="140">
        <f t="shared" si="7"/>
        <v>7.3445705262384781E-3</v>
      </c>
      <c r="H40" s="195">
        <f t="shared" si="5"/>
        <v>6.6886000000000001</v>
      </c>
      <c r="I40" s="238">
        <f t="shared" si="8"/>
        <v>0.14950811829082319</v>
      </c>
      <c r="M40" s="272">
        <f t="shared" si="0"/>
        <v>44670</v>
      </c>
      <c r="N40" s="357">
        <v>1.07925</v>
      </c>
      <c r="O40" s="357">
        <v>1.3027500000000001</v>
      </c>
      <c r="P40" s="357">
        <v>128.36500000000001</v>
      </c>
      <c r="Q40" s="358">
        <v>6.4018499999999996</v>
      </c>
    </row>
    <row r="41" spans="1:17" x14ac:dyDescent="0.4">
      <c r="A41" s="312"/>
      <c r="B41" s="194">
        <f t="shared" si="6"/>
        <v>44739</v>
      </c>
      <c r="C41" s="197">
        <v>1</v>
      </c>
      <c r="D41" s="195">
        <f t="shared" si="2"/>
        <v>1.0585</v>
      </c>
      <c r="E41" s="195">
        <f t="shared" si="3"/>
        <v>1.2274499999999999</v>
      </c>
      <c r="F41" s="196">
        <f t="shared" si="4"/>
        <v>135.245</v>
      </c>
      <c r="G41" s="140">
        <f t="shared" si="7"/>
        <v>7.3939886871973084E-3</v>
      </c>
      <c r="H41" s="195">
        <f t="shared" si="5"/>
        <v>6.6848999999999998</v>
      </c>
      <c r="I41" s="238">
        <f t="shared" si="8"/>
        <v>0.14959086897335788</v>
      </c>
      <c r="M41" s="272">
        <f t="shared" si="0"/>
        <v>44671</v>
      </c>
      <c r="N41" s="357">
        <v>1.08565</v>
      </c>
      <c r="O41" s="357">
        <v>1.30585</v>
      </c>
      <c r="P41" s="357">
        <v>127.78</v>
      </c>
      <c r="Q41" s="358">
        <v>6.4387999999999996</v>
      </c>
    </row>
    <row r="42" spans="1:17" x14ac:dyDescent="0.4">
      <c r="A42" s="312"/>
      <c r="B42" s="194">
        <f t="shared" si="6"/>
        <v>44736</v>
      </c>
      <c r="C42" s="197">
        <v>1</v>
      </c>
      <c r="D42" s="195">
        <f t="shared" si="2"/>
        <v>1.0539499999999999</v>
      </c>
      <c r="E42" s="195">
        <f t="shared" si="3"/>
        <v>1.23055</v>
      </c>
      <c r="F42" s="196">
        <f t="shared" si="4"/>
        <v>135.09</v>
      </c>
      <c r="G42" s="140">
        <f t="shared" si="7"/>
        <v>7.4024724257902141E-3</v>
      </c>
      <c r="H42" s="195">
        <f t="shared" si="5"/>
        <v>6.6913</v>
      </c>
      <c r="I42" s="238">
        <f t="shared" si="8"/>
        <v>0.14944779041441872</v>
      </c>
      <c r="M42" s="272">
        <f t="shared" si="0"/>
        <v>44672</v>
      </c>
      <c r="N42" s="357">
        <v>1.09005</v>
      </c>
      <c r="O42" s="357">
        <v>1.3065500000000001</v>
      </c>
      <c r="P42" s="357">
        <v>128.065</v>
      </c>
      <c r="Q42" s="358">
        <v>6.4718999999999998</v>
      </c>
    </row>
    <row r="43" spans="1:17" x14ac:dyDescent="0.4">
      <c r="A43" s="312"/>
      <c r="B43" s="194">
        <f t="shared" si="6"/>
        <v>44735</v>
      </c>
      <c r="C43" s="197">
        <v>1</v>
      </c>
      <c r="D43" s="195">
        <f t="shared" si="2"/>
        <v>1.0505</v>
      </c>
      <c r="E43" s="195">
        <f t="shared" si="3"/>
        <v>1.2213000000000001</v>
      </c>
      <c r="F43" s="196">
        <f t="shared" si="4"/>
        <v>135.36500000000001</v>
      </c>
      <c r="G43" s="140">
        <f t="shared" si="7"/>
        <v>7.3874339748088496E-3</v>
      </c>
      <c r="H43" s="195">
        <f t="shared" si="5"/>
        <v>6.7039999999999997</v>
      </c>
      <c r="I43" s="238">
        <f t="shared" si="8"/>
        <v>0.14916467780429596</v>
      </c>
      <c r="M43" s="272">
        <f t="shared" si="0"/>
        <v>44673</v>
      </c>
      <c r="N43" s="357">
        <v>1.08155</v>
      </c>
      <c r="O43" s="357">
        <v>1.2908500000000001</v>
      </c>
      <c r="P43" s="357">
        <v>128.45500000000001</v>
      </c>
      <c r="Q43" s="358">
        <v>6.5327500000000001</v>
      </c>
    </row>
    <row r="44" spans="1:17" x14ac:dyDescent="0.4">
      <c r="A44" s="312"/>
      <c r="B44" s="194">
        <f t="shared" si="6"/>
        <v>44734</v>
      </c>
      <c r="C44" s="197">
        <v>1</v>
      </c>
      <c r="D44" s="195">
        <f t="shared" si="2"/>
        <v>1.0520499999999999</v>
      </c>
      <c r="E44" s="195">
        <f t="shared" si="3"/>
        <v>1.2249000000000001</v>
      </c>
      <c r="F44" s="196">
        <f t="shared" si="4"/>
        <v>136.10499999999999</v>
      </c>
      <c r="G44" s="140">
        <f t="shared" si="7"/>
        <v>7.3472686528782928E-3</v>
      </c>
      <c r="H44" s="195">
        <f t="shared" si="5"/>
        <v>6.7195499999999999</v>
      </c>
      <c r="I44" s="238">
        <f t="shared" si="8"/>
        <v>0.14881948940033188</v>
      </c>
      <c r="M44" s="272">
        <f t="shared" si="0"/>
        <v>44676</v>
      </c>
      <c r="N44" s="357">
        <v>1.0723</v>
      </c>
      <c r="O44" s="357">
        <v>1.27105</v>
      </c>
      <c r="P44" s="357">
        <v>128.19499999999999</v>
      </c>
      <c r="Q44" s="358">
        <v>6.6016000000000004</v>
      </c>
    </row>
    <row r="45" spans="1:17" x14ac:dyDescent="0.4">
      <c r="A45" s="312"/>
      <c r="B45" s="194">
        <f t="shared" si="6"/>
        <v>44733</v>
      </c>
      <c r="C45" s="197">
        <v>1</v>
      </c>
      <c r="D45" s="195">
        <f t="shared" si="2"/>
        <v>1.05535</v>
      </c>
      <c r="E45" s="195">
        <f t="shared" si="3"/>
        <v>1.2283999999999999</v>
      </c>
      <c r="F45" s="196">
        <f t="shared" si="4"/>
        <v>135.745</v>
      </c>
      <c r="G45" s="140">
        <f t="shared" si="7"/>
        <v>7.3667538399204389E-3</v>
      </c>
      <c r="H45" s="195">
        <f t="shared" si="5"/>
        <v>6.6948499999999997</v>
      </c>
      <c r="I45" s="238">
        <f t="shared" si="8"/>
        <v>0.14936854447821835</v>
      </c>
      <c r="M45" s="272">
        <f t="shared" si="0"/>
        <v>44677</v>
      </c>
      <c r="N45" s="357">
        <v>1.0689500000000001</v>
      </c>
      <c r="O45" s="357">
        <v>1.2715000000000001</v>
      </c>
      <c r="P45" s="357">
        <v>127.705</v>
      </c>
      <c r="Q45" s="358">
        <v>6.5649499999999996</v>
      </c>
    </row>
    <row r="46" spans="1:17" x14ac:dyDescent="0.4">
      <c r="A46" s="312"/>
      <c r="B46" s="194">
        <f t="shared" si="6"/>
        <v>44732</v>
      </c>
      <c r="C46" s="197">
        <v>1</v>
      </c>
      <c r="D46" s="195">
        <f t="shared" si="2"/>
        <v>1.0532999999999999</v>
      </c>
      <c r="E46" s="195">
        <f t="shared" si="3"/>
        <v>1.22505</v>
      </c>
      <c r="F46" s="196">
        <f t="shared" si="4"/>
        <v>134.875</v>
      </c>
      <c r="G46" s="140">
        <f t="shared" si="7"/>
        <v>7.4142724745134385E-3</v>
      </c>
      <c r="H46" s="195">
        <f t="shared" si="5"/>
        <v>6.6860999999999997</v>
      </c>
      <c r="I46" s="238">
        <f t="shared" si="8"/>
        <v>0.14956402087913731</v>
      </c>
      <c r="M46" s="272">
        <f t="shared" si="0"/>
        <v>44678</v>
      </c>
      <c r="N46" s="357">
        <v>1.0608500000000001</v>
      </c>
      <c r="O46" s="357">
        <v>1.2586999999999999</v>
      </c>
      <c r="P46" s="357">
        <v>127.91</v>
      </c>
      <c r="Q46" s="358">
        <v>6.5767499999999997</v>
      </c>
    </row>
    <row r="47" spans="1:17" x14ac:dyDescent="0.4">
      <c r="A47" s="312"/>
      <c r="B47" s="194">
        <f t="shared" si="6"/>
        <v>44729</v>
      </c>
      <c r="C47" s="197">
        <v>1</v>
      </c>
      <c r="D47" s="195">
        <f t="shared" si="2"/>
        <v>1.0520499999999999</v>
      </c>
      <c r="E47" s="195">
        <f t="shared" si="3"/>
        <v>1.23</v>
      </c>
      <c r="F47" s="196">
        <f t="shared" si="4"/>
        <v>134.59</v>
      </c>
      <c r="G47" s="140">
        <f t="shared" si="7"/>
        <v>7.4299725091017165E-3</v>
      </c>
      <c r="H47" s="195">
        <f t="shared" si="5"/>
        <v>6.7046000000000001</v>
      </c>
      <c r="I47" s="238">
        <f t="shared" si="8"/>
        <v>0.14915132893834085</v>
      </c>
      <c r="M47" s="272">
        <f t="shared" si="0"/>
        <v>44679</v>
      </c>
      <c r="N47" s="357">
        <v>1.04975</v>
      </c>
      <c r="O47" s="357">
        <v>1.2465999999999999</v>
      </c>
      <c r="P47" s="357">
        <v>130.41</v>
      </c>
      <c r="Q47" s="358">
        <v>6.6463000000000001</v>
      </c>
    </row>
    <row r="48" spans="1:17" x14ac:dyDescent="0.4">
      <c r="A48" s="312"/>
      <c r="B48" s="194">
        <f t="shared" si="6"/>
        <v>44728</v>
      </c>
      <c r="C48" s="197">
        <v>1</v>
      </c>
      <c r="D48" s="195">
        <f t="shared" si="2"/>
        <v>1.0401499999999999</v>
      </c>
      <c r="E48" s="195">
        <f t="shared" si="3"/>
        <v>1.20865</v>
      </c>
      <c r="F48" s="196">
        <f t="shared" si="4"/>
        <v>133.13499999999999</v>
      </c>
      <c r="G48" s="140">
        <f t="shared" si="7"/>
        <v>7.511172869643595E-3</v>
      </c>
      <c r="H48" s="195">
        <f t="shared" si="5"/>
        <v>6.7227499999999996</v>
      </c>
      <c r="I48" s="238">
        <f t="shared" si="8"/>
        <v>0.14874865196534157</v>
      </c>
      <c r="M48" s="272">
        <f t="shared" si="0"/>
        <v>44680</v>
      </c>
      <c r="N48" s="357">
        <v>1.0565500000000001</v>
      </c>
      <c r="O48" s="357">
        <v>1.25695</v>
      </c>
      <c r="P48" s="357">
        <v>130.065</v>
      </c>
      <c r="Q48" s="358">
        <v>6.6201499999999998</v>
      </c>
    </row>
    <row r="49" spans="1:17" ht="12" customHeight="1" x14ac:dyDescent="0.4">
      <c r="A49" s="312"/>
      <c r="B49" s="194">
        <f t="shared" si="6"/>
        <v>44727</v>
      </c>
      <c r="C49" s="197">
        <v>1</v>
      </c>
      <c r="D49" s="195">
        <f t="shared" si="2"/>
        <v>1.0481499999999999</v>
      </c>
      <c r="E49" s="195">
        <f t="shared" si="3"/>
        <v>1.2091000000000001</v>
      </c>
      <c r="F49" s="196">
        <f t="shared" si="4"/>
        <v>134.435</v>
      </c>
      <c r="G49" s="140">
        <f t="shared" si="7"/>
        <v>7.4385390709264696E-3</v>
      </c>
      <c r="H49" s="195">
        <f t="shared" si="5"/>
        <v>6.7140500000000003</v>
      </c>
      <c r="I49" s="238">
        <f t="shared" si="8"/>
        <v>0.14894139900656087</v>
      </c>
      <c r="M49" s="272">
        <f t="shared" si="0"/>
        <v>44683</v>
      </c>
      <c r="N49" s="357">
        <v>1.0526500000000001</v>
      </c>
      <c r="O49" s="357">
        <v>1.2568999999999999</v>
      </c>
      <c r="P49" s="357">
        <v>129.88999999999999</v>
      </c>
      <c r="Q49" s="358">
        <v>6.6723499999999998</v>
      </c>
    </row>
    <row r="50" spans="1:17" x14ac:dyDescent="0.4">
      <c r="A50" s="312"/>
      <c r="B50" s="194">
        <f t="shared" si="6"/>
        <v>44726</v>
      </c>
      <c r="C50" s="197">
        <v>1</v>
      </c>
      <c r="D50" s="195">
        <f t="shared" si="2"/>
        <v>1.04355</v>
      </c>
      <c r="E50" s="195">
        <f t="shared" si="3"/>
        <v>1.2085999999999999</v>
      </c>
      <c r="F50" s="196">
        <f t="shared" si="4"/>
        <v>134.285</v>
      </c>
      <c r="G50" s="140">
        <f t="shared" si="7"/>
        <v>7.4468481215325616E-3</v>
      </c>
      <c r="H50" s="195">
        <f t="shared" si="5"/>
        <v>6.7533000000000003</v>
      </c>
      <c r="I50" s="238">
        <f t="shared" si="8"/>
        <v>0.14807575555654273</v>
      </c>
      <c r="M50" s="272">
        <f t="shared" si="0"/>
        <v>44684</v>
      </c>
      <c r="N50" s="357">
        <v>1.0503499999999999</v>
      </c>
      <c r="O50" s="357">
        <v>1.2496499999999999</v>
      </c>
      <c r="P50" s="357">
        <v>130.09</v>
      </c>
      <c r="Q50" s="358">
        <v>6.6848999999999998</v>
      </c>
    </row>
    <row r="51" spans="1:17" x14ac:dyDescent="0.4">
      <c r="A51" s="312"/>
      <c r="B51" s="194">
        <f t="shared" si="6"/>
        <v>44725</v>
      </c>
      <c r="C51" s="197">
        <v>1</v>
      </c>
      <c r="D51" s="195">
        <f t="shared" si="2"/>
        <v>1.0467500000000001</v>
      </c>
      <c r="E51" s="195">
        <f t="shared" si="3"/>
        <v>1.2199500000000001</v>
      </c>
      <c r="F51" s="196">
        <f t="shared" si="4"/>
        <v>134.47999999999999</v>
      </c>
      <c r="G51" s="140">
        <f t="shared" si="7"/>
        <v>7.4360499702558003E-3</v>
      </c>
      <c r="H51" s="195">
        <f t="shared" si="5"/>
        <v>6.7530999999999999</v>
      </c>
      <c r="I51" s="238">
        <f t="shared" si="8"/>
        <v>0.14808014097229422</v>
      </c>
      <c r="M51" s="272">
        <f t="shared" si="0"/>
        <v>44685</v>
      </c>
      <c r="N51" s="357">
        <v>1.0528500000000001</v>
      </c>
      <c r="O51" s="357">
        <v>1.2518</v>
      </c>
      <c r="P51" s="357">
        <v>129.97499999999999</v>
      </c>
      <c r="Q51" s="358">
        <v>6.6605499999999997</v>
      </c>
    </row>
    <row r="52" spans="1:17" x14ac:dyDescent="0.4">
      <c r="A52" s="312"/>
      <c r="B52" s="194">
        <f t="shared" si="6"/>
        <v>44722</v>
      </c>
      <c r="C52" s="197">
        <v>1</v>
      </c>
      <c r="D52" s="195">
        <f t="shared" si="2"/>
        <v>1.05925</v>
      </c>
      <c r="E52" s="195">
        <f t="shared" si="3"/>
        <v>1.2442</v>
      </c>
      <c r="F52" s="196">
        <f t="shared" si="4"/>
        <v>133.77000000000001</v>
      </c>
      <c r="G52" s="140">
        <f t="shared" si="7"/>
        <v>7.4755176795993118E-3</v>
      </c>
      <c r="H52" s="195">
        <f t="shared" si="5"/>
        <v>6.70235</v>
      </c>
      <c r="I52" s="238">
        <f t="shared" si="8"/>
        <v>0.14920139950912739</v>
      </c>
      <c r="M52" s="272">
        <f t="shared" si="0"/>
        <v>44686</v>
      </c>
      <c r="N52" s="357">
        <v>1.0599499999999999</v>
      </c>
      <c r="O52" s="357">
        <v>1.2548999999999999</v>
      </c>
      <c r="P52" s="357">
        <v>129.72999999999999</v>
      </c>
      <c r="Q52" s="358">
        <v>6.6457499999999996</v>
      </c>
    </row>
    <row r="53" spans="1:17" x14ac:dyDescent="0.4">
      <c r="A53" s="115"/>
      <c r="B53" s="194">
        <f t="shared" si="6"/>
        <v>44721</v>
      </c>
      <c r="C53" s="197">
        <v>1</v>
      </c>
      <c r="D53" s="195">
        <f t="shared" si="2"/>
        <v>1.07175</v>
      </c>
      <c r="E53" s="195">
        <f t="shared" si="3"/>
        <v>1.25335</v>
      </c>
      <c r="F53" s="196">
        <f t="shared" si="4"/>
        <v>133.32</v>
      </c>
      <c r="G53" s="140">
        <f t="shared" si="7"/>
        <v>7.5007500750075016E-3</v>
      </c>
      <c r="H53" s="195">
        <f t="shared" si="5"/>
        <v>6.6747500000000004</v>
      </c>
      <c r="I53" s="238">
        <f t="shared" si="8"/>
        <v>0.14981834525637663</v>
      </c>
      <c r="M53" s="272">
        <f t="shared" si="0"/>
        <v>44687</v>
      </c>
      <c r="N53" s="357">
        <v>1.0586500000000001</v>
      </c>
      <c r="O53" s="357">
        <v>1.23725</v>
      </c>
      <c r="P53" s="357">
        <v>130.26</v>
      </c>
      <c r="Q53" s="358">
        <v>6.70695</v>
      </c>
    </row>
    <row r="54" spans="1:17" x14ac:dyDescent="0.4">
      <c r="A54" s="115"/>
      <c r="B54" s="194">
        <f t="shared" si="6"/>
        <v>44720</v>
      </c>
      <c r="C54" s="197">
        <v>1</v>
      </c>
      <c r="D54" s="195">
        <f t="shared" si="2"/>
        <v>1.07195</v>
      </c>
      <c r="E54" s="195">
        <f t="shared" si="3"/>
        <v>1.2537</v>
      </c>
      <c r="F54" s="196">
        <f t="shared" si="4"/>
        <v>133.995</v>
      </c>
      <c r="G54" s="140">
        <f t="shared" si="7"/>
        <v>7.4629650360088064E-3</v>
      </c>
      <c r="H54" s="195">
        <f t="shared" si="5"/>
        <v>6.6959</v>
      </c>
      <c r="I54" s="238">
        <f t="shared" si="8"/>
        <v>0.14934512164160157</v>
      </c>
      <c r="M54" s="272">
        <f t="shared" si="0"/>
        <v>44690</v>
      </c>
      <c r="N54" s="357">
        <v>1.0545</v>
      </c>
      <c r="O54" s="357">
        <v>1.23455</v>
      </c>
      <c r="P54" s="357">
        <v>131.11500000000001</v>
      </c>
      <c r="Q54" s="358">
        <v>6.7706</v>
      </c>
    </row>
    <row r="55" spans="1:17" x14ac:dyDescent="0.4">
      <c r="A55" s="115"/>
      <c r="B55" s="194">
        <f t="shared" si="6"/>
        <v>44719</v>
      </c>
      <c r="C55" s="197">
        <v>1</v>
      </c>
      <c r="D55" s="195">
        <f t="shared" si="2"/>
        <v>1.06745</v>
      </c>
      <c r="E55" s="195">
        <f t="shared" si="3"/>
        <v>1.2496</v>
      </c>
      <c r="F55" s="196">
        <f t="shared" si="4"/>
        <v>132.83500000000001</v>
      </c>
      <c r="G55" s="140">
        <f t="shared" si="7"/>
        <v>7.5281364098317453E-3</v>
      </c>
      <c r="H55" s="195">
        <f t="shared" si="5"/>
        <v>6.6728500000000004</v>
      </c>
      <c r="I55" s="238">
        <f t="shared" si="8"/>
        <v>0.14986100391886525</v>
      </c>
      <c r="M55" s="272">
        <f t="shared" si="0"/>
        <v>44691</v>
      </c>
      <c r="N55" s="357">
        <v>1.05535</v>
      </c>
      <c r="O55" s="357">
        <v>1.2355</v>
      </c>
      <c r="P55" s="357">
        <v>130.08500000000001</v>
      </c>
      <c r="Q55" s="358">
        <v>6.7538499999999999</v>
      </c>
    </row>
    <row r="56" spans="1:17" x14ac:dyDescent="0.4">
      <c r="A56" s="115"/>
      <c r="B56" s="194">
        <f t="shared" si="6"/>
        <v>44718</v>
      </c>
      <c r="C56" s="197">
        <v>1</v>
      </c>
      <c r="D56" s="195">
        <f t="shared" si="2"/>
        <v>1.0728500000000001</v>
      </c>
      <c r="E56" s="195">
        <f t="shared" si="3"/>
        <v>1.2554000000000001</v>
      </c>
      <c r="F56" s="196">
        <f t="shared" si="4"/>
        <v>130.63499999999999</v>
      </c>
      <c r="G56" s="140">
        <f t="shared" si="7"/>
        <v>7.654916370038658E-3</v>
      </c>
      <c r="H56" s="195">
        <f t="shared" si="5"/>
        <v>6.6383999999999999</v>
      </c>
      <c r="I56" s="238">
        <f t="shared" si="8"/>
        <v>0.15063870812243915</v>
      </c>
      <c r="M56" s="272">
        <f t="shared" si="0"/>
        <v>44692</v>
      </c>
      <c r="N56" s="357">
        <v>1.0545500000000001</v>
      </c>
      <c r="O56" s="357">
        <v>1.2341</v>
      </c>
      <c r="P56" s="357">
        <v>129.84</v>
      </c>
      <c r="Q56" s="358">
        <v>6.7394999999999996</v>
      </c>
    </row>
    <row r="57" spans="1:17" x14ac:dyDescent="0.4">
      <c r="A57" s="115"/>
      <c r="B57" s="194">
        <f t="shared" si="6"/>
        <v>44715</v>
      </c>
      <c r="C57" s="197">
        <v>1</v>
      </c>
      <c r="D57" s="195">
        <f t="shared" si="2"/>
        <v>1.0740000000000001</v>
      </c>
      <c r="E57" s="195">
        <f t="shared" si="3"/>
        <v>1.25665</v>
      </c>
      <c r="F57" s="196">
        <f t="shared" si="4"/>
        <v>130.15</v>
      </c>
      <c r="G57" s="140">
        <f t="shared" si="7"/>
        <v>7.6834421820975796E-3</v>
      </c>
      <c r="H57" s="195">
        <f t="shared" si="5"/>
        <v>6.6371500000000001</v>
      </c>
      <c r="I57" s="238">
        <f t="shared" si="8"/>
        <v>0.15066707849001454</v>
      </c>
      <c r="M57" s="272">
        <f t="shared" si="0"/>
        <v>44693</v>
      </c>
      <c r="N57" s="357">
        <v>1.0438499999999999</v>
      </c>
      <c r="O57" s="357">
        <v>1.22085</v>
      </c>
      <c r="P57" s="357">
        <v>128.70500000000001</v>
      </c>
      <c r="Q57" s="358">
        <v>6.8109999999999999</v>
      </c>
    </row>
    <row r="58" spans="1:17" x14ac:dyDescent="0.4">
      <c r="A58" s="115"/>
      <c r="B58" s="194">
        <f t="shared" si="6"/>
        <v>44714</v>
      </c>
      <c r="C58" s="197">
        <v>1</v>
      </c>
      <c r="D58" s="195">
        <f t="shared" si="2"/>
        <v>1.06955</v>
      </c>
      <c r="E58" s="195">
        <f t="shared" si="3"/>
        <v>1.2549999999999999</v>
      </c>
      <c r="F58" s="196">
        <f t="shared" si="4"/>
        <v>129.72499999999999</v>
      </c>
      <c r="G58" s="140">
        <f t="shared" si="7"/>
        <v>7.7086143765658123E-3</v>
      </c>
      <c r="H58" s="195">
        <f t="shared" si="5"/>
        <v>6.6797000000000004</v>
      </c>
      <c r="I58" s="238">
        <f t="shared" si="8"/>
        <v>0.14970732218512806</v>
      </c>
      <c r="M58" s="272">
        <f t="shared" si="0"/>
        <v>44694</v>
      </c>
      <c r="N58" s="357">
        <v>1.0387500000000001</v>
      </c>
      <c r="O58" s="357">
        <v>1.2199500000000001</v>
      </c>
      <c r="P58" s="357">
        <v>129.02500000000001</v>
      </c>
      <c r="Q58" s="358">
        <v>6.8063000000000002</v>
      </c>
    </row>
    <row r="59" spans="1:17" x14ac:dyDescent="0.4">
      <c r="A59" s="115"/>
      <c r="B59" s="194">
        <f t="shared" si="6"/>
        <v>44713</v>
      </c>
      <c r="C59" s="197">
        <v>1</v>
      </c>
      <c r="D59" s="195">
        <f t="shared" ref="D59:D86" si="9">VLOOKUP(B59,$M:$Q,2,FALSE)</f>
        <v>1.07185</v>
      </c>
      <c r="E59" s="195">
        <f t="shared" ref="E59:E86" si="10">VLOOKUP(B59,$M:$Q,3,FALSE)</f>
        <v>1.2589999999999999</v>
      </c>
      <c r="F59" s="196">
        <f t="shared" ref="F59:F86" si="11">VLOOKUP(B59,$M:$Q,4,FALSE)</f>
        <v>129.435</v>
      </c>
      <c r="G59" s="140">
        <f t="shared" si="7"/>
        <v>7.7258855796345652E-3</v>
      </c>
      <c r="H59" s="195">
        <f t="shared" ref="H59:H86" si="12">VLOOKUP(B59,$M:$Q,5,FALSE)</f>
        <v>6.6943000000000001</v>
      </c>
      <c r="I59" s="238">
        <f t="shared" si="8"/>
        <v>0.14938081651554308</v>
      </c>
      <c r="M59" s="272">
        <f t="shared" si="0"/>
        <v>44697</v>
      </c>
      <c r="N59" s="357">
        <v>1.04365</v>
      </c>
      <c r="O59" s="357">
        <v>1.2267999999999999</v>
      </c>
      <c r="P59" s="357">
        <v>129.32499999999999</v>
      </c>
      <c r="Q59" s="358">
        <v>6.8075000000000001</v>
      </c>
    </row>
    <row r="60" spans="1:17" x14ac:dyDescent="0.4">
      <c r="A60" s="115"/>
      <c r="B60" s="194">
        <f t="shared" si="6"/>
        <v>44712</v>
      </c>
      <c r="C60" s="197">
        <v>1</v>
      </c>
      <c r="D60" s="195">
        <f t="shared" si="9"/>
        <v>1.06935</v>
      </c>
      <c r="E60" s="195">
        <f t="shared" si="10"/>
        <v>1.2588999999999999</v>
      </c>
      <c r="F60" s="196">
        <f t="shared" si="11"/>
        <v>128.005</v>
      </c>
      <c r="G60" s="140">
        <f t="shared" si="7"/>
        <v>7.8121948361392132E-3</v>
      </c>
      <c r="H60" s="195">
        <f t="shared" si="12"/>
        <v>6.6718999999999999</v>
      </c>
      <c r="I60" s="238">
        <f t="shared" si="8"/>
        <v>0.14988234236124642</v>
      </c>
      <c r="M60" s="272">
        <f t="shared" si="0"/>
        <v>44698</v>
      </c>
      <c r="N60" s="357">
        <v>1.05145</v>
      </c>
      <c r="O60" s="357">
        <v>1.24655</v>
      </c>
      <c r="P60" s="357">
        <v>129.33500000000001</v>
      </c>
      <c r="Q60" s="358">
        <v>6.7481499999999999</v>
      </c>
    </row>
    <row r="61" spans="1:17" x14ac:dyDescent="0.4">
      <c r="A61" s="115"/>
      <c r="B61" s="194">
        <f t="shared" si="6"/>
        <v>44711</v>
      </c>
      <c r="C61" s="197">
        <v>1</v>
      </c>
      <c r="D61" s="195">
        <f t="shared" si="9"/>
        <v>1.0774999999999999</v>
      </c>
      <c r="E61" s="195">
        <f t="shared" si="10"/>
        <v>1.2643500000000001</v>
      </c>
      <c r="F61" s="196">
        <f t="shared" si="11"/>
        <v>127.38500000000001</v>
      </c>
      <c r="G61" s="140">
        <f t="shared" si="7"/>
        <v>7.8502178435451587E-3</v>
      </c>
      <c r="H61" s="195">
        <f t="shared" si="12"/>
        <v>6.6738999999999997</v>
      </c>
      <c r="I61" s="238">
        <f t="shared" si="8"/>
        <v>0.1498374263923643</v>
      </c>
      <c r="M61" s="272">
        <f t="shared" si="0"/>
        <v>44699</v>
      </c>
      <c r="N61" s="357">
        <v>1.0519499999999999</v>
      </c>
      <c r="O61" s="357">
        <v>1.2401</v>
      </c>
      <c r="P61" s="357">
        <v>129.16499999999999</v>
      </c>
      <c r="Q61" s="358">
        <v>6.7511999999999999</v>
      </c>
    </row>
    <row r="62" spans="1:17" x14ac:dyDescent="0.4">
      <c r="A62" s="115"/>
      <c r="B62" s="194">
        <f t="shared" si="6"/>
        <v>44708</v>
      </c>
      <c r="C62" s="197">
        <v>1</v>
      </c>
      <c r="D62" s="195">
        <f t="shared" si="9"/>
        <v>1.06995</v>
      </c>
      <c r="E62" s="195">
        <f t="shared" si="10"/>
        <v>1.25915</v>
      </c>
      <c r="F62" s="196">
        <f t="shared" si="11"/>
        <v>127.11499999999999</v>
      </c>
      <c r="G62" s="140">
        <f t="shared" si="7"/>
        <v>7.8668921842426145E-3</v>
      </c>
      <c r="H62" s="195">
        <f t="shared" si="12"/>
        <v>6.7363999999999997</v>
      </c>
      <c r="I62" s="238">
        <f t="shared" si="8"/>
        <v>0.14844724185024644</v>
      </c>
      <c r="M62" s="272">
        <f t="shared" si="0"/>
        <v>44700</v>
      </c>
      <c r="N62" s="357">
        <v>1.05335</v>
      </c>
      <c r="O62" s="357">
        <v>1.2425999999999999</v>
      </c>
      <c r="P62" s="357">
        <v>127.715</v>
      </c>
      <c r="Q62" s="358">
        <v>6.7563000000000004</v>
      </c>
    </row>
    <row r="63" spans="1:17" x14ac:dyDescent="0.4">
      <c r="A63" s="115"/>
      <c r="B63" s="194">
        <f t="shared" si="6"/>
        <v>44707</v>
      </c>
      <c r="C63" s="197">
        <v>1</v>
      </c>
      <c r="D63" s="195">
        <f t="shared" si="9"/>
        <v>1.0718000000000001</v>
      </c>
      <c r="E63" s="195">
        <f t="shared" si="10"/>
        <v>1.2615000000000001</v>
      </c>
      <c r="F63" s="196">
        <f t="shared" si="11"/>
        <v>126.765</v>
      </c>
      <c r="G63" s="140">
        <f t="shared" si="7"/>
        <v>7.8886127874413289E-3</v>
      </c>
      <c r="H63" s="195">
        <f t="shared" si="12"/>
        <v>6.7463499999999996</v>
      </c>
      <c r="I63" s="238">
        <f t="shared" si="8"/>
        <v>0.14822830122955377</v>
      </c>
      <c r="M63" s="272">
        <f t="shared" si="0"/>
        <v>44701</v>
      </c>
      <c r="N63" s="357">
        <v>1.0588500000000001</v>
      </c>
      <c r="O63" s="357">
        <v>1.2481500000000001</v>
      </c>
      <c r="P63" s="357">
        <v>128.035</v>
      </c>
      <c r="Q63" s="358">
        <v>6.6833</v>
      </c>
    </row>
    <row r="64" spans="1:17" x14ac:dyDescent="0.4">
      <c r="A64" s="115"/>
      <c r="B64" s="194">
        <f t="shared" si="6"/>
        <v>44706</v>
      </c>
      <c r="C64" s="197">
        <v>1</v>
      </c>
      <c r="D64" s="195">
        <f t="shared" si="9"/>
        <v>1.0665500000000001</v>
      </c>
      <c r="E64" s="195">
        <f t="shared" si="10"/>
        <v>1.24905</v>
      </c>
      <c r="F64" s="196">
        <f t="shared" si="11"/>
        <v>127.155</v>
      </c>
      <c r="G64" s="140">
        <f t="shared" si="7"/>
        <v>7.8644174432778886E-3</v>
      </c>
      <c r="H64" s="195">
        <f t="shared" si="12"/>
        <v>6.6909999999999998</v>
      </c>
      <c r="I64" s="238">
        <f t="shared" si="8"/>
        <v>0.14945449110745779</v>
      </c>
      <c r="M64" s="272">
        <f t="shared" si="0"/>
        <v>44704</v>
      </c>
      <c r="N64" s="357">
        <v>1.0676000000000001</v>
      </c>
      <c r="O64" s="357">
        <v>1.2579</v>
      </c>
      <c r="P64" s="357">
        <v>127.52</v>
      </c>
      <c r="Q64" s="358">
        <v>6.6547499999999999</v>
      </c>
    </row>
    <row r="65" spans="1:17" x14ac:dyDescent="0.4">
      <c r="A65" s="115"/>
      <c r="B65" s="194">
        <f t="shared" si="6"/>
        <v>44705</v>
      </c>
      <c r="C65" s="197">
        <v>1</v>
      </c>
      <c r="D65" s="195">
        <f t="shared" si="9"/>
        <v>1.0709</v>
      </c>
      <c r="E65" s="195">
        <f t="shared" si="10"/>
        <v>1.25115</v>
      </c>
      <c r="F65" s="196">
        <f t="shared" si="11"/>
        <v>127.465</v>
      </c>
      <c r="G65" s="140">
        <f t="shared" si="7"/>
        <v>7.8452908641587892E-3</v>
      </c>
      <c r="H65" s="195">
        <f t="shared" si="12"/>
        <v>6.6771000000000003</v>
      </c>
      <c r="I65" s="238">
        <f t="shared" si="8"/>
        <v>0.14976561680969283</v>
      </c>
      <c r="M65" s="272">
        <f t="shared" si="0"/>
        <v>44705</v>
      </c>
      <c r="N65" s="357">
        <v>1.0709</v>
      </c>
      <c r="O65" s="357">
        <v>1.25115</v>
      </c>
      <c r="P65" s="357">
        <v>127.465</v>
      </c>
      <c r="Q65" s="358">
        <v>6.6771000000000003</v>
      </c>
    </row>
    <row r="66" spans="1:17" x14ac:dyDescent="0.4">
      <c r="A66" s="115"/>
      <c r="B66" s="194">
        <f t="shared" si="6"/>
        <v>44704</v>
      </c>
      <c r="C66" s="197">
        <v>1</v>
      </c>
      <c r="D66" s="195">
        <f t="shared" si="9"/>
        <v>1.0676000000000001</v>
      </c>
      <c r="E66" s="195">
        <f t="shared" si="10"/>
        <v>1.2579</v>
      </c>
      <c r="F66" s="196">
        <f t="shared" si="11"/>
        <v>127.52</v>
      </c>
      <c r="G66" s="140">
        <f t="shared" si="7"/>
        <v>7.8419071518193231E-3</v>
      </c>
      <c r="H66" s="195">
        <f t="shared" si="12"/>
        <v>6.6547499999999999</v>
      </c>
      <c r="I66" s="238">
        <f t="shared" si="8"/>
        <v>0.15026860513167287</v>
      </c>
      <c r="L66" s="266"/>
      <c r="M66" s="272">
        <f t="shared" si="0"/>
        <v>44706</v>
      </c>
      <c r="N66" s="357">
        <v>1.0665500000000001</v>
      </c>
      <c r="O66" s="357">
        <v>1.24905</v>
      </c>
      <c r="P66" s="357">
        <v>127.155</v>
      </c>
      <c r="Q66" s="358">
        <v>6.6909999999999998</v>
      </c>
    </row>
    <row r="67" spans="1:17" x14ac:dyDescent="0.4">
      <c r="A67" s="115"/>
      <c r="B67" s="194">
        <f t="shared" si="6"/>
        <v>44701</v>
      </c>
      <c r="C67" s="197">
        <v>1</v>
      </c>
      <c r="D67" s="195">
        <f t="shared" si="9"/>
        <v>1.0588500000000001</v>
      </c>
      <c r="E67" s="195">
        <f t="shared" si="10"/>
        <v>1.2481500000000001</v>
      </c>
      <c r="F67" s="196">
        <f t="shared" si="11"/>
        <v>128.035</v>
      </c>
      <c r="G67" s="140">
        <f t="shared" si="7"/>
        <v>7.8103643534970912E-3</v>
      </c>
      <c r="H67" s="195">
        <f t="shared" si="12"/>
        <v>6.6833</v>
      </c>
      <c r="I67" s="238">
        <f t="shared" si="8"/>
        <v>0.14962668142983257</v>
      </c>
      <c r="M67" s="272">
        <f t="shared" si="0"/>
        <v>44707</v>
      </c>
      <c r="N67" s="357">
        <v>1.0718000000000001</v>
      </c>
      <c r="O67" s="357">
        <v>1.2615000000000001</v>
      </c>
      <c r="P67" s="357">
        <v>126.765</v>
      </c>
      <c r="Q67" s="358">
        <v>6.7463499999999996</v>
      </c>
    </row>
    <row r="68" spans="1:17" x14ac:dyDescent="0.4">
      <c r="A68" s="115"/>
      <c r="B68" s="194">
        <f t="shared" si="6"/>
        <v>44700</v>
      </c>
      <c r="C68" s="197">
        <v>1</v>
      </c>
      <c r="D68" s="195">
        <f t="shared" si="9"/>
        <v>1.05335</v>
      </c>
      <c r="E68" s="195">
        <f t="shared" si="10"/>
        <v>1.2425999999999999</v>
      </c>
      <c r="F68" s="196">
        <f t="shared" si="11"/>
        <v>127.715</v>
      </c>
      <c r="G68" s="140">
        <f t="shared" si="7"/>
        <v>7.8299338370590773E-3</v>
      </c>
      <c r="H68" s="195">
        <f t="shared" si="12"/>
        <v>6.7563000000000004</v>
      </c>
      <c r="I68" s="238">
        <f t="shared" si="8"/>
        <v>0.14801000547637019</v>
      </c>
      <c r="M68" s="272">
        <f t="shared" si="0"/>
        <v>44708</v>
      </c>
      <c r="N68" s="357">
        <v>1.06995</v>
      </c>
      <c r="O68" s="357">
        <v>1.25915</v>
      </c>
      <c r="P68" s="357">
        <v>127.11499999999999</v>
      </c>
      <c r="Q68" s="358">
        <v>6.7363999999999997</v>
      </c>
    </row>
    <row r="69" spans="1:17" x14ac:dyDescent="0.4">
      <c r="A69" s="115"/>
      <c r="B69" s="194">
        <f t="shared" si="6"/>
        <v>44699</v>
      </c>
      <c r="C69" s="197">
        <v>1</v>
      </c>
      <c r="D69" s="195">
        <f t="shared" si="9"/>
        <v>1.0519499999999999</v>
      </c>
      <c r="E69" s="195">
        <f t="shared" si="10"/>
        <v>1.2401</v>
      </c>
      <c r="F69" s="196">
        <f t="shared" si="11"/>
        <v>129.16499999999999</v>
      </c>
      <c r="G69" s="140">
        <f t="shared" si="7"/>
        <v>7.7420353811016923E-3</v>
      </c>
      <c r="H69" s="195">
        <f t="shared" si="12"/>
        <v>6.7511999999999999</v>
      </c>
      <c r="I69" s="238">
        <f t="shared" si="8"/>
        <v>0.1481218153809693</v>
      </c>
      <c r="M69" s="272">
        <f t="shared" si="0"/>
        <v>44711</v>
      </c>
      <c r="N69" s="359">
        <v>1.0774999999999999</v>
      </c>
      <c r="O69" s="359">
        <v>1.2643500000000001</v>
      </c>
      <c r="P69" s="359">
        <v>127.38500000000001</v>
      </c>
      <c r="Q69" s="360">
        <v>6.6738999999999997</v>
      </c>
    </row>
    <row r="70" spans="1:17" x14ac:dyDescent="0.4">
      <c r="A70" s="115"/>
      <c r="B70" s="194">
        <f t="shared" si="6"/>
        <v>44698</v>
      </c>
      <c r="C70" s="197">
        <v>1</v>
      </c>
      <c r="D70" s="195">
        <f t="shared" si="9"/>
        <v>1.05145</v>
      </c>
      <c r="E70" s="195">
        <f t="shared" si="10"/>
        <v>1.24655</v>
      </c>
      <c r="F70" s="196">
        <f t="shared" si="11"/>
        <v>129.33500000000001</v>
      </c>
      <c r="G70" s="140">
        <f t="shared" si="7"/>
        <v>7.731859125526732E-3</v>
      </c>
      <c r="H70" s="195">
        <f t="shared" si="12"/>
        <v>6.7481499999999999</v>
      </c>
      <c r="I70" s="238">
        <f t="shared" si="8"/>
        <v>0.14818876284611338</v>
      </c>
      <c r="M70" s="272">
        <f t="shared" ref="M70:M113" si="13">WORKDAY(M69,1)</f>
        <v>44712</v>
      </c>
      <c r="N70" s="359">
        <v>1.06935</v>
      </c>
      <c r="O70" s="359">
        <v>1.2588999999999999</v>
      </c>
      <c r="P70" s="359">
        <v>128.005</v>
      </c>
      <c r="Q70" s="360">
        <v>6.6718999999999999</v>
      </c>
    </row>
    <row r="71" spans="1:17" x14ac:dyDescent="0.4">
      <c r="A71" s="115"/>
      <c r="B71" s="194">
        <f t="shared" si="6"/>
        <v>44697</v>
      </c>
      <c r="C71" s="197">
        <v>1</v>
      </c>
      <c r="D71" s="195">
        <f t="shared" si="9"/>
        <v>1.04365</v>
      </c>
      <c r="E71" s="195">
        <f t="shared" si="10"/>
        <v>1.2267999999999999</v>
      </c>
      <c r="F71" s="196">
        <f t="shared" si="11"/>
        <v>129.32499999999999</v>
      </c>
      <c r="G71" s="140">
        <f t="shared" si="7"/>
        <v>7.7324569882080037E-3</v>
      </c>
      <c r="H71" s="195">
        <f t="shared" si="12"/>
        <v>6.8075000000000001</v>
      </c>
      <c r="I71" s="238">
        <f t="shared" si="8"/>
        <v>0.14689680499449137</v>
      </c>
      <c r="M71" s="272">
        <f t="shared" si="13"/>
        <v>44713</v>
      </c>
      <c r="N71" s="359">
        <v>1.07185</v>
      </c>
      <c r="O71" s="359">
        <v>1.2589999999999999</v>
      </c>
      <c r="P71" s="359">
        <v>129.435</v>
      </c>
      <c r="Q71" s="360">
        <v>6.6943000000000001</v>
      </c>
    </row>
    <row r="72" spans="1:17" x14ac:dyDescent="0.4">
      <c r="B72" s="194">
        <f t="shared" si="6"/>
        <v>44694</v>
      </c>
      <c r="C72" s="197">
        <v>1</v>
      </c>
      <c r="D72" s="195">
        <f t="shared" si="9"/>
        <v>1.0387500000000001</v>
      </c>
      <c r="E72" s="195">
        <f t="shared" si="10"/>
        <v>1.2199500000000001</v>
      </c>
      <c r="F72" s="196">
        <f t="shared" si="11"/>
        <v>129.02500000000001</v>
      </c>
      <c r="G72" s="140">
        <f t="shared" si="7"/>
        <v>7.7504359620228632E-3</v>
      </c>
      <c r="H72" s="195">
        <f t="shared" si="12"/>
        <v>6.8063000000000002</v>
      </c>
      <c r="I72" s="238">
        <f t="shared" si="8"/>
        <v>0.14692270396544377</v>
      </c>
      <c r="M72" s="272">
        <f t="shared" si="13"/>
        <v>44714</v>
      </c>
      <c r="N72" s="359">
        <v>1.06955</v>
      </c>
      <c r="O72" s="359">
        <v>1.2549999999999999</v>
      </c>
      <c r="P72" s="359">
        <v>129.72499999999999</v>
      </c>
      <c r="Q72" s="360">
        <v>6.6797000000000004</v>
      </c>
    </row>
    <row r="73" spans="1:17" x14ac:dyDescent="0.4">
      <c r="B73" s="194">
        <f t="shared" si="6"/>
        <v>44693</v>
      </c>
      <c r="C73" s="197">
        <v>1</v>
      </c>
      <c r="D73" s="195">
        <f t="shared" si="9"/>
        <v>1.0438499999999999</v>
      </c>
      <c r="E73" s="195">
        <f t="shared" si="10"/>
        <v>1.22085</v>
      </c>
      <c r="F73" s="196">
        <f t="shared" si="11"/>
        <v>128.70500000000001</v>
      </c>
      <c r="G73" s="140">
        <f t="shared" si="7"/>
        <v>7.7697059166310549E-3</v>
      </c>
      <c r="H73" s="195">
        <f t="shared" si="12"/>
        <v>6.8109999999999999</v>
      </c>
      <c r="I73" s="238">
        <f t="shared" si="8"/>
        <v>0.14682131845543972</v>
      </c>
      <c r="M73" s="272">
        <f t="shared" si="13"/>
        <v>44715</v>
      </c>
      <c r="N73" s="359">
        <v>1.0740000000000001</v>
      </c>
      <c r="O73" s="359">
        <v>1.25665</v>
      </c>
      <c r="P73" s="359">
        <v>130.15</v>
      </c>
      <c r="Q73" s="360">
        <v>6.6371500000000001</v>
      </c>
    </row>
    <row r="74" spans="1:17" x14ac:dyDescent="0.4">
      <c r="B74" s="194">
        <f t="shared" si="6"/>
        <v>44692</v>
      </c>
      <c r="C74" s="197">
        <v>1</v>
      </c>
      <c r="D74" s="195">
        <f t="shared" si="9"/>
        <v>1.0545500000000001</v>
      </c>
      <c r="E74" s="195">
        <f t="shared" si="10"/>
        <v>1.2341</v>
      </c>
      <c r="F74" s="196">
        <f t="shared" si="11"/>
        <v>129.84</v>
      </c>
      <c r="G74" s="140">
        <f t="shared" si="7"/>
        <v>7.7017868145409733E-3</v>
      </c>
      <c r="H74" s="195">
        <f t="shared" si="12"/>
        <v>6.7394999999999996</v>
      </c>
      <c r="I74" s="238">
        <f t="shared" si="8"/>
        <v>0.14837895986349137</v>
      </c>
      <c r="M74" s="272">
        <f t="shared" si="13"/>
        <v>44718</v>
      </c>
      <c r="N74" s="359">
        <v>1.0728500000000001</v>
      </c>
      <c r="O74" s="359">
        <v>1.2554000000000001</v>
      </c>
      <c r="P74" s="359">
        <v>130.63499999999999</v>
      </c>
      <c r="Q74" s="360">
        <v>6.6383999999999999</v>
      </c>
    </row>
    <row r="75" spans="1:17" x14ac:dyDescent="0.4">
      <c r="B75" s="194">
        <f t="shared" si="6"/>
        <v>44691</v>
      </c>
      <c r="C75" s="197">
        <v>1</v>
      </c>
      <c r="D75" s="195">
        <f t="shared" si="9"/>
        <v>1.05535</v>
      </c>
      <c r="E75" s="195">
        <f t="shared" si="10"/>
        <v>1.2355</v>
      </c>
      <c r="F75" s="196">
        <f t="shared" si="11"/>
        <v>130.08500000000001</v>
      </c>
      <c r="G75" s="140">
        <f t="shared" si="7"/>
        <v>7.687281392935388E-3</v>
      </c>
      <c r="H75" s="195">
        <f t="shared" si="12"/>
        <v>6.7538499999999999</v>
      </c>
      <c r="I75" s="238">
        <f t="shared" si="8"/>
        <v>0.14806369700245045</v>
      </c>
      <c r="M75" s="272">
        <f t="shared" si="13"/>
        <v>44719</v>
      </c>
      <c r="N75" s="359">
        <v>1.06745</v>
      </c>
      <c r="O75" s="359">
        <v>1.2496</v>
      </c>
      <c r="P75" s="359">
        <v>132.83500000000001</v>
      </c>
      <c r="Q75" s="360">
        <v>6.6728500000000004</v>
      </c>
    </row>
    <row r="76" spans="1:17" x14ac:dyDescent="0.4">
      <c r="B76" s="194">
        <f t="shared" si="6"/>
        <v>44690</v>
      </c>
      <c r="C76" s="197">
        <v>1</v>
      </c>
      <c r="D76" s="195">
        <f t="shared" si="9"/>
        <v>1.0545</v>
      </c>
      <c r="E76" s="195">
        <f t="shared" si="10"/>
        <v>1.23455</v>
      </c>
      <c r="F76" s="196">
        <f t="shared" si="11"/>
        <v>131.11500000000001</v>
      </c>
      <c r="G76" s="140">
        <f t="shared" si="7"/>
        <v>7.6268924226823775E-3</v>
      </c>
      <c r="H76" s="195">
        <f t="shared" si="12"/>
        <v>6.7706</v>
      </c>
      <c r="I76" s="238">
        <f t="shared" si="8"/>
        <v>0.14769739757185479</v>
      </c>
      <c r="M76" s="272">
        <f t="shared" si="13"/>
        <v>44720</v>
      </c>
      <c r="N76" s="359">
        <v>1.07195</v>
      </c>
      <c r="O76" s="359">
        <v>1.2537</v>
      </c>
      <c r="P76" s="359">
        <v>133.995</v>
      </c>
      <c r="Q76" s="360">
        <v>6.6959</v>
      </c>
    </row>
    <row r="77" spans="1:17" x14ac:dyDescent="0.4">
      <c r="B77" s="194">
        <f t="shared" si="6"/>
        <v>44687</v>
      </c>
      <c r="C77" s="197">
        <v>1</v>
      </c>
      <c r="D77" s="195">
        <f t="shared" si="9"/>
        <v>1.0586500000000001</v>
      </c>
      <c r="E77" s="195">
        <f t="shared" si="10"/>
        <v>1.23725</v>
      </c>
      <c r="F77" s="196">
        <f t="shared" si="11"/>
        <v>130.26</v>
      </c>
      <c r="G77" s="140">
        <f t="shared" si="7"/>
        <v>7.6769537847382165E-3</v>
      </c>
      <c r="H77" s="195">
        <f t="shared" si="12"/>
        <v>6.70695</v>
      </c>
      <c r="I77" s="238">
        <f t="shared" si="8"/>
        <v>0.14909906887631486</v>
      </c>
      <c r="M77" s="272">
        <f t="shared" si="13"/>
        <v>44721</v>
      </c>
      <c r="N77" s="359">
        <v>1.07175</v>
      </c>
      <c r="O77" s="359">
        <v>1.25335</v>
      </c>
      <c r="P77" s="359">
        <v>133.32</v>
      </c>
      <c r="Q77" s="360">
        <v>6.6747500000000004</v>
      </c>
    </row>
    <row r="78" spans="1:17" x14ac:dyDescent="0.4">
      <c r="B78" s="194">
        <f t="shared" si="6"/>
        <v>44686</v>
      </c>
      <c r="C78" s="197">
        <v>1</v>
      </c>
      <c r="D78" s="195">
        <f t="shared" si="9"/>
        <v>1.0599499999999999</v>
      </c>
      <c r="E78" s="195">
        <f t="shared" si="10"/>
        <v>1.2548999999999999</v>
      </c>
      <c r="F78" s="196">
        <f t="shared" si="11"/>
        <v>129.72999999999999</v>
      </c>
      <c r="G78" s="140">
        <f t="shared" si="7"/>
        <v>7.7083172743390126E-3</v>
      </c>
      <c r="H78" s="195">
        <f t="shared" si="12"/>
        <v>6.6457499999999996</v>
      </c>
      <c r="I78" s="238">
        <f t="shared" si="8"/>
        <v>0.15047210623330701</v>
      </c>
      <c r="M78" s="272">
        <f t="shared" si="13"/>
        <v>44722</v>
      </c>
      <c r="N78" s="359">
        <v>1.05925</v>
      </c>
      <c r="O78" s="359">
        <v>1.2442</v>
      </c>
      <c r="P78" s="359">
        <v>133.77000000000001</v>
      </c>
      <c r="Q78" s="360">
        <v>6.70235</v>
      </c>
    </row>
    <row r="79" spans="1:17" x14ac:dyDescent="0.4">
      <c r="B79" s="194">
        <f t="shared" si="6"/>
        <v>44685</v>
      </c>
      <c r="C79" s="197">
        <v>1</v>
      </c>
      <c r="D79" s="195">
        <f t="shared" si="9"/>
        <v>1.0528500000000001</v>
      </c>
      <c r="E79" s="195">
        <f t="shared" si="10"/>
        <v>1.2518</v>
      </c>
      <c r="F79" s="196">
        <f t="shared" si="11"/>
        <v>129.97499999999999</v>
      </c>
      <c r="G79" s="140">
        <f t="shared" si="7"/>
        <v>7.6937872667820735E-3</v>
      </c>
      <c r="H79" s="195">
        <f t="shared" si="12"/>
        <v>6.6605499999999997</v>
      </c>
      <c r="I79" s="238">
        <f t="shared" si="8"/>
        <v>0.15013775138689747</v>
      </c>
      <c r="M79" s="272">
        <f t="shared" si="13"/>
        <v>44725</v>
      </c>
      <c r="N79" s="359">
        <v>1.0467500000000001</v>
      </c>
      <c r="O79" s="359">
        <v>1.2199500000000001</v>
      </c>
      <c r="P79" s="359">
        <v>134.47999999999999</v>
      </c>
      <c r="Q79" s="360">
        <v>6.7530999999999999</v>
      </c>
    </row>
    <row r="80" spans="1:17" x14ac:dyDescent="0.4">
      <c r="B80" s="194">
        <f t="shared" si="6"/>
        <v>44684</v>
      </c>
      <c r="C80" s="197">
        <v>1</v>
      </c>
      <c r="D80" s="195">
        <f t="shared" si="9"/>
        <v>1.0503499999999999</v>
      </c>
      <c r="E80" s="195">
        <f t="shared" si="10"/>
        <v>1.2496499999999999</v>
      </c>
      <c r="F80" s="196">
        <f t="shared" si="11"/>
        <v>130.09</v>
      </c>
      <c r="G80" s="140">
        <f t="shared" si="7"/>
        <v>7.6869859328157425E-3</v>
      </c>
      <c r="H80" s="195">
        <f t="shared" si="12"/>
        <v>6.6848999999999998</v>
      </c>
      <c r="I80" s="238">
        <f t="shared" si="8"/>
        <v>0.14959086897335788</v>
      </c>
      <c r="M80" s="272">
        <f t="shared" si="13"/>
        <v>44726</v>
      </c>
      <c r="N80" s="359">
        <v>1.04355</v>
      </c>
      <c r="O80" s="359">
        <v>1.2085999999999999</v>
      </c>
      <c r="P80" s="359">
        <v>134.285</v>
      </c>
      <c r="Q80" s="360">
        <v>6.7533000000000003</v>
      </c>
    </row>
    <row r="81" spans="1:17" x14ac:dyDescent="0.4">
      <c r="B81" s="194">
        <f t="shared" si="6"/>
        <v>44683</v>
      </c>
      <c r="C81" s="197">
        <v>1</v>
      </c>
      <c r="D81" s="195">
        <f t="shared" si="9"/>
        <v>1.0526500000000001</v>
      </c>
      <c r="E81" s="195">
        <f t="shared" si="10"/>
        <v>1.2568999999999999</v>
      </c>
      <c r="F81" s="196">
        <f t="shared" si="11"/>
        <v>129.88999999999999</v>
      </c>
      <c r="G81" s="140">
        <f t="shared" si="7"/>
        <v>7.698822080221727E-3</v>
      </c>
      <c r="H81" s="195">
        <f t="shared" si="12"/>
        <v>6.6723499999999998</v>
      </c>
      <c r="I81" s="238">
        <f t="shared" si="8"/>
        <v>0.14987223392058271</v>
      </c>
      <c r="M81" s="272">
        <f t="shared" si="13"/>
        <v>44727</v>
      </c>
      <c r="N81" s="359">
        <v>1.0481499999999999</v>
      </c>
      <c r="O81" s="359">
        <v>1.2091000000000001</v>
      </c>
      <c r="P81" s="359">
        <v>134.435</v>
      </c>
      <c r="Q81" s="360">
        <v>6.7140500000000003</v>
      </c>
    </row>
    <row r="82" spans="1:17" x14ac:dyDescent="0.4">
      <c r="B82" s="194">
        <f t="shared" si="6"/>
        <v>44680</v>
      </c>
      <c r="C82" s="197">
        <v>1</v>
      </c>
      <c r="D82" s="195">
        <f t="shared" si="9"/>
        <v>1.0565500000000001</v>
      </c>
      <c r="E82" s="195">
        <f t="shared" si="10"/>
        <v>1.25695</v>
      </c>
      <c r="F82" s="196">
        <f t="shared" si="11"/>
        <v>130.065</v>
      </c>
      <c r="G82" s="140">
        <f t="shared" si="7"/>
        <v>7.6884634605774039E-3</v>
      </c>
      <c r="H82" s="195">
        <f t="shared" si="12"/>
        <v>6.6201499999999998</v>
      </c>
      <c r="I82" s="238">
        <f t="shared" si="8"/>
        <v>0.15105397913944549</v>
      </c>
      <c r="M82" s="272">
        <f t="shared" si="13"/>
        <v>44728</v>
      </c>
      <c r="N82" s="359">
        <v>1.0401499999999999</v>
      </c>
      <c r="O82" s="359">
        <v>1.20865</v>
      </c>
      <c r="P82" s="359">
        <v>133.13499999999999</v>
      </c>
      <c r="Q82" s="360">
        <v>6.7227499999999996</v>
      </c>
    </row>
    <row r="83" spans="1:17" x14ac:dyDescent="0.4">
      <c r="B83" s="194">
        <f t="shared" si="6"/>
        <v>44679</v>
      </c>
      <c r="C83" s="197">
        <v>1</v>
      </c>
      <c r="D83" s="195">
        <f t="shared" si="9"/>
        <v>1.04975</v>
      </c>
      <c r="E83" s="195">
        <f t="shared" si="10"/>
        <v>1.2465999999999999</v>
      </c>
      <c r="F83" s="196">
        <f t="shared" si="11"/>
        <v>130.41</v>
      </c>
      <c r="G83" s="140">
        <f t="shared" si="7"/>
        <v>7.6681236101525958E-3</v>
      </c>
      <c r="H83" s="195">
        <f t="shared" si="12"/>
        <v>6.6463000000000001</v>
      </c>
      <c r="I83" s="238">
        <f t="shared" si="8"/>
        <v>0.15045965424371455</v>
      </c>
      <c r="M83" s="272">
        <f t="shared" si="13"/>
        <v>44729</v>
      </c>
      <c r="N83" s="359">
        <v>1.0520499999999999</v>
      </c>
      <c r="O83" s="359">
        <v>1.23</v>
      </c>
      <c r="P83" s="359">
        <v>134.59</v>
      </c>
      <c r="Q83" s="360">
        <v>6.7046000000000001</v>
      </c>
    </row>
    <row r="84" spans="1:17" x14ac:dyDescent="0.4">
      <c r="B84" s="194">
        <f t="shared" si="6"/>
        <v>44678</v>
      </c>
      <c r="C84" s="197">
        <v>1</v>
      </c>
      <c r="D84" s="195">
        <f t="shared" si="9"/>
        <v>1.0608500000000001</v>
      </c>
      <c r="E84" s="195">
        <f t="shared" si="10"/>
        <v>1.2586999999999999</v>
      </c>
      <c r="F84" s="196">
        <f t="shared" si="11"/>
        <v>127.91</v>
      </c>
      <c r="G84" s="140">
        <f t="shared" si="7"/>
        <v>7.8179970291611285E-3</v>
      </c>
      <c r="H84" s="195">
        <f t="shared" si="12"/>
        <v>6.5767499999999997</v>
      </c>
      <c r="I84" s="238">
        <f t="shared" si="8"/>
        <v>0.15205078496217739</v>
      </c>
      <c r="M84" s="272">
        <f t="shared" si="13"/>
        <v>44732</v>
      </c>
      <c r="N84" s="359">
        <v>1.0532999999999999</v>
      </c>
      <c r="O84" s="359">
        <v>1.22505</v>
      </c>
      <c r="P84" s="359">
        <v>134.875</v>
      </c>
      <c r="Q84" s="360">
        <v>6.6860999999999997</v>
      </c>
    </row>
    <row r="85" spans="1:17" x14ac:dyDescent="0.4">
      <c r="B85" s="194">
        <f t="shared" si="6"/>
        <v>44677</v>
      </c>
      <c r="C85" s="197">
        <v>1</v>
      </c>
      <c r="D85" s="195">
        <f t="shared" si="9"/>
        <v>1.0689500000000001</v>
      </c>
      <c r="E85" s="195">
        <f t="shared" si="10"/>
        <v>1.2715000000000001</v>
      </c>
      <c r="F85" s="196">
        <f t="shared" si="11"/>
        <v>127.705</v>
      </c>
      <c r="G85" s="140">
        <f t="shared" si="7"/>
        <v>7.8305469637054148E-3</v>
      </c>
      <c r="H85" s="195">
        <f t="shared" si="12"/>
        <v>6.5649499999999996</v>
      </c>
      <c r="I85" s="238">
        <f t="shared" si="8"/>
        <v>0.15232408472265593</v>
      </c>
      <c r="M85" s="272">
        <f t="shared" si="13"/>
        <v>44733</v>
      </c>
      <c r="N85" s="359">
        <v>1.05535</v>
      </c>
      <c r="O85" s="359">
        <v>1.2283999999999999</v>
      </c>
      <c r="P85" s="359">
        <v>135.745</v>
      </c>
      <c r="Q85" s="360">
        <v>6.6948499999999997</v>
      </c>
    </row>
    <row r="86" spans="1:17" x14ac:dyDescent="0.4">
      <c r="B86" s="194">
        <f t="shared" si="6"/>
        <v>44676</v>
      </c>
      <c r="C86" s="197">
        <v>1</v>
      </c>
      <c r="D86" s="195">
        <f t="shared" si="9"/>
        <v>1.0723</v>
      </c>
      <c r="E86" s="195">
        <f t="shared" si="10"/>
        <v>1.27105</v>
      </c>
      <c r="F86" s="196">
        <f t="shared" si="11"/>
        <v>128.19499999999999</v>
      </c>
      <c r="G86" s="140">
        <f t="shared" si="7"/>
        <v>7.8006162486836464E-3</v>
      </c>
      <c r="H86" s="195">
        <f t="shared" si="12"/>
        <v>6.6016000000000004</v>
      </c>
      <c r="I86" s="238">
        <f t="shared" si="8"/>
        <v>0.15147842947164322</v>
      </c>
      <c r="M86" s="272">
        <f t="shared" si="13"/>
        <v>44734</v>
      </c>
      <c r="N86" s="359">
        <v>1.0520499999999999</v>
      </c>
      <c r="O86" s="359">
        <v>1.2249000000000001</v>
      </c>
      <c r="P86" s="359">
        <v>136.10499999999999</v>
      </c>
      <c r="Q86" s="360">
        <v>6.7195499999999999</v>
      </c>
    </row>
    <row r="87" spans="1:17" x14ac:dyDescent="0.4">
      <c r="B87" s="194">
        <f>IF(B86=$E$22,"",WORKDAY(B86,-1))</f>
        <v>44673</v>
      </c>
      <c r="C87" s="197">
        <f t="shared" ref="C87:C91" si="14">IF(B87="","",1)</f>
        <v>1</v>
      </c>
      <c r="D87" s="195">
        <f t="shared" ref="D87:D91" si="15">IF(B87="","",VLOOKUP(B87,$M:$Q,2,FALSE))</f>
        <v>1.08155</v>
      </c>
      <c r="E87" s="195">
        <f t="shared" ref="E87:E92" si="16">IF(B87="","",VLOOKUP(B87,$M:$Q,3,FALSE))</f>
        <v>1.2908500000000001</v>
      </c>
      <c r="F87" s="196">
        <f t="shared" ref="F87:F92" si="17">IF(B87="","",VLOOKUP(B87,$M:$Q,4,FALSE))</f>
        <v>128.45500000000001</v>
      </c>
      <c r="G87" s="140">
        <f t="shared" ref="G87:G91" si="18">IF(B87="","",1/F87)</f>
        <v>7.784827371453037E-3</v>
      </c>
      <c r="H87" s="195">
        <f t="shared" ref="H87:H92" si="19">IF(B87="","",VLOOKUP(B87,$M:$Q,5,FALSE))</f>
        <v>6.5327500000000001</v>
      </c>
      <c r="I87" s="238">
        <f t="shared" ref="I87:I91" si="20">IF(B87="","",1/H87)</f>
        <v>0.1530748918908576</v>
      </c>
      <c r="J87" s="2" t="str">
        <f t="shared" ref="J87:J89" si="21">IF(AND(B88="",B87&lt;&gt;""),IF(B87=$E$22,"TRUE","FALSE"),"")</f>
        <v/>
      </c>
      <c r="K87" s="329" t="s">
        <v>57</v>
      </c>
      <c r="M87" s="272">
        <f t="shared" si="13"/>
        <v>44735</v>
      </c>
      <c r="N87" s="359">
        <v>1.0505</v>
      </c>
      <c r="O87" s="359">
        <v>1.2213000000000001</v>
      </c>
      <c r="P87" s="359">
        <v>135.36500000000001</v>
      </c>
      <c r="Q87" s="360">
        <v>6.7039999999999997</v>
      </c>
    </row>
    <row r="88" spans="1:17" x14ac:dyDescent="0.4">
      <c r="B88" s="194">
        <f t="shared" ref="B88:B89" si="22">IF(B87=$E$22,"",WORKDAY(B87,-1))</f>
        <v>44672</v>
      </c>
      <c r="C88" s="197">
        <f t="shared" si="14"/>
        <v>1</v>
      </c>
      <c r="D88" s="195">
        <f t="shared" si="15"/>
        <v>1.09005</v>
      </c>
      <c r="E88" s="195">
        <f t="shared" si="16"/>
        <v>1.3065500000000001</v>
      </c>
      <c r="F88" s="196">
        <f t="shared" si="17"/>
        <v>128.065</v>
      </c>
      <c r="G88" s="140">
        <f t="shared" si="18"/>
        <v>7.808534728458205E-3</v>
      </c>
      <c r="H88" s="195">
        <f t="shared" si="19"/>
        <v>6.4718999999999998</v>
      </c>
      <c r="I88" s="238">
        <f t="shared" si="20"/>
        <v>0.1545141303172175</v>
      </c>
      <c r="J88" s="2" t="str">
        <f t="shared" si="21"/>
        <v/>
      </c>
      <c r="K88" s="329"/>
      <c r="M88" s="272">
        <f t="shared" si="13"/>
        <v>44736</v>
      </c>
      <c r="N88" s="359">
        <v>1.0539499999999999</v>
      </c>
      <c r="O88" s="359">
        <v>1.23055</v>
      </c>
      <c r="P88" s="359">
        <v>135.09</v>
      </c>
      <c r="Q88" s="360">
        <v>6.6913</v>
      </c>
    </row>
    <row r="89" spans="1:17" x14ac:dyDescent="0.4">
      <c r="B89" s="194">
        <f t="shared" si="22"/>
        <v>44671</v>
      </c>
      <c r="C89" s="197">
        <f t="shared" si="14"/>
        <v>1</v>
      </c>
      <c r="D89" s="195">
        <f t="shared" si="15"/>
        <v>1.08565</v>
      </c>
      <c r="E89" s="195">
        <f t="shared" si="16"/>
        <v>1.30585</v>
      </c>
      <c r="F89" s="196">
        <f t="shared" si="17"/>
        <v>127.78</v>
      </c>
      <c r="G89" s="140">
        <f t="shared" si="18"/>
        <v>7.8259508530286424E-3</v>
      </c>
      <c r="H89" s="195">
        <f t="shared" si="19"/>
        <v>6.4387999999999996</v>
      </c>
      <c r="I89" s="238">
        <f t="shared" si="20"/>
        <v>0.15530844256693796</v>
      </c>
      <c r="J89" s="2" t="str">
        <f t="shared" si="21"/>
        <v/>
      </c>
      <c r="K89" s="329"/>
      <c r="M89" s="272">
        <f t="shared" si="13"/>
        <v>44739</v>
      </c>
      <c r="N89" s="359">
        <v>1.0585</v>
      </c>
      <c r="O89" s="359">
        <v>1.2274499999999999</v>
      </c>
      <c r="P89" s="359">
        <v>135.245</v>
      </c>
      <c r="Q89" s="360">
        <v>6.6848999999999998</v>
      </c>
    </row>
    <row r="90" spans="1:17" x14ac:dyDescent="0.4">
      <c r="B90" s="194">
        <f>IF(B89=$E$22,"",WORKDAY(B89,-1))</f>
        <v>44670</v>
      </c>
      <c r="C90" s="197">
        <f t="shared" si="14"/>
        <v>1</v>
      </c>
      <c r="D90" s="195">
        <f t="shared" si="15"/>
        <v>1.07925</v>
      </c>
      <c r="E90" s="195">
        <f t="shared" si="16"/>
        <v>1.3027500000000001</v>
      </c>
      <c r="F90" s="196">
        <f t="shared" si="17"/>
        <v>128.36500000000001</v>
      </c>
      <c r="G90" s="140">
        <f t="shared" si="18"/>
        <v>7.7902855139640867E-3</v>
      </c>
      <c r="H90" s="195">
        <f t="shared" si="19"/>
        <v>6.4018499999999996</v>
      </c>
      <c r="I90" s="238">
        <f t="shared" si="20"/>
        <v>0.15620484703640355</v>
      </c>
      <c r="J90" s="2" t="str">
        <f>IF(AND(B91="",B90&lt;&gt;""),IF(B90=$E$22,"TRUE","FALSE"),"")</f>
        <v/>
      </c>
      <c r="K90" s="329"/>
      <c r="M90" s="272">
        <f t="shared" si="13"/>
        <v>44740</v>
      </c>
      <c r="N90" s="359">
        <v>1.05785</v>
      </c>
      <c r="O90" s="359">
        <v>1.2241</v>
      </c>
      <c r="P90" s="359">
        <v>136.155</v>
      </c>
      <c r="Q90" s="360">
        <v>6.6886000000000001</v>
      </c>
    </row>
    <row r="91" spans="1:17" x14ac:dyDescent="0.4">
      <c r="B91" s="194">
        <f>IF(B90=$E$22,"",WORKDAY(B90,-1))</f>
        <v>44669</v>
      </c>
      <c r="C91" s="197">
        <f t="shared" si="14"/>
        <v>1</v>
      </c>
      <c r="D91" s="195">
        <f t="shared" si="15"/>
        <v>1.0801499999999999</v>
      </c>
      <c r="E91" s="195">
        <f t="shared" si="16"/>
        <v>1.3028</v>
      </c>
      <c r="F91" s="196">
        <f t="shared" si="17"/>
        <v>126.61499999999999</v>
      </c>
      <c r="G91" s="140">
        <f t="shared" si="18"/>
        <v>7.8979583777593499E-3</v>
      </c>
      <c r="H91" s="195">
        <f t="shared" si="19"/>
        <v>6.3756000000000004</v>
      </c>
      <c r="I91" s="238">
        <f t="shared" si="20"/>
        <v>0.15684798293493946</v>
      </c>
      <c r="J91" s="2" t="str">
        <f>IF(AND(B92="",B91&lt;&gt;""),IF(B91=$E$22,"TRUE","FALSE"),"")</f>
        <v>TRUE</v>
      </c>
      <c r="K91" s="329"/>
      <c r="M91" s="272">
        <f t="shared" si="13"/>
        <v>44741</v>
      </c>
      <c r="N91" s="359">
        <v>1.0521499999999999</v>
      </c>
      <c r="O91" s="359">
        <v>1.2157500000000001</v>
      </c>
      <c r="P91" s="359">
        <v>136.535</v>
      </c>
      <c r="Q91" s="360">
        <v>6.70045</v>
      </c>
    </row>
    <row r="92" spans="1:17" x14ac:dyDescent="0.4">
      <c r="B92" s="194" t="str">
        <f>IF(B91=$E$22,"",WORKDAY(B91,-1))</f>
        <v/>
      </c>
      <c r="C92" s="197" t="str">
        <f>IF(B92="","",1)</f>
        <v/>
      </c>
      <c r="D92" s="195" t="str">
        <f>IF(B92="","",VLOOKUP(B92,$M:$Q,2,FALSE))</f>
        <v/>
      </c>
      <c r="E92" s="195" t="str">
        <f t="shared" si="16"/>
        <v/>
      </c>
      <c r="F92" s="196" t="str">
        <f t="shared" si="17"/>
        <v/>
      </c>
      <c r="G92" s="140" t="str">
        <f>IF(B92="","",1/F92)</f>
        <v/>
      </c>
      <c r="H92" s="195" t="str">
        <f t="shared" si="19"/>
        <v/>
      </c>
      <c r="I92" s="238" t="str">
        <f>IF(B92="","",1/H92)</f>
        <v/>
      </c>
      <c r="J92" s="2" t="str">
        <f>IF(AND(B93="",B92&lt;&gt;""),IF(B92=$E$22,"TRUE","FALSE"),"")</f>
        <v/>
      </c>
      <c r="K92" s="329"/>
      <c r="M92" s="272">
        <f t="shared" si="13"/>
        <v>44742</v>
      </c>
      <c r="N92" s="357">
        <v>1.0401499999999999</v>
      </c>
      <c r="O92" s="357">
        <v>1.2109000000000001</v>
      </c>
      <c r="P92" s="357">
        <v>136.38499999999999</v>
      </c>
      <c r="Q92" s="358">
        <v>6.7066499999999998</v>
      </c>
    </row>
    <row r="93" spans="1:17" x14ac:dyDescent="0.4">
      <c r="A93" s="19"/>
      <c r="B93" s="147"/>
      <c r="C93" s="148"/>
      <c r="D93" s="149"/>
      <c r="E93" s="149"/>
      <c r="F93" s="150"/>
      <c r="G93" s="151"/>
      <c r="H93" s="149"/>
      <c r="I93" s="152"/>
      <c r="J93" s="264"/>
      <c r="M93" s="272">
        <f t="shared" si="13"/>
        <v>44743</v>
      </c>
      <c r="N93" s="357">
        <v>1.04515</v>
      </c>
      <c r="O93" s="357">
        <v>1.2056</v>
      </c>
      <c r="P93" s="357">
        <v>135.345</v>
      </c>
      <c r="Q93" s="358">
        <v>6.7082499999999996</v>
      </c>
    </row>
    <row r="94" spans="1:17" x14ac:dyDescent="0.4">
      <c r="B94" s="146"/>
      <c r="C94" s="143"/>
      <c r="D94" s="136"/>
      <c r="E94" s="136"/>
      <c r="F94" s="137"/>
      <c r="G94" s="144"/>
      <c r="H94" s="136"/>
      <c r="I94" s="145"/>
      <c r="M94" s="272">
        <f t="shared" si="13"/>
        <v>44746</v>
      </c>
      <c r="N94" s="359">
        <v>1.04525</v>
      </c>
      <c r="O94" s="359">
        <v>1.214</v>
      </c>
      <c r="P94" s="359">
        <v>135.38499999999999</v>
      </c>
      <c r="Q94" s="360">
        <v>6.6870500000000002</v>
      </c>
    </row>
    <row r="95" spans="1:17" x14ac:dyDescent="0.4">
      <c r="B95" s="14"/>
      <c r="M95" s="272">
        <f t="shared" si="13"/>
        <v>44747</v>
      </c>
      <c r="N95" s="359">
        <v>1.0298499999999999</v>
      </c>
      <c r="O95" s="359">
        <v>1.2022999999999999</v>
      </c>
      <c r="P95" s="359">
        <v>135.97999999999999</v>
      </c>
      <c r="Q95" s="360">
        <v>6.7061000000000002</v>
      </c>
    </row>
    <row r="96" spans="1:17" x14ac:dyDescent="0.4">
      <c r="B96" s="14"/>
      <c r="M96" s="272">
        <f t="shared" si="13"/>
        <v>44748</v>
      </c>
      <c r="N96" s="359">
        <v>1.0196499999999999</v>
      </c>
      <c r="O96" s="359">
        <v>1.1918500000000001</v>
      </c>
      <c r="P96" s="359">
        <v>135.38499999999999</v>
      </c>
      <c r="Q96" s="360">
        <v>6.7110000000000003</v>
      </c>
    </row>
    <row r="97" spans="2:17" x14ac:dyDescent="0.4">
      <c r="B97" s="14"/>
      <c r="M97" s="272">
        <f t="shared" si="13"/>
        <v>44749</v>
      </c>
      <c r="N97" s="359">
        <v>1.0188999999999999</v>
      </c>
      <c r="O97" s="359">
        <v>1.1990000000000001</v>
      </c>
      <c r="P97" s="359">
        <v>135.86500000000001</v>
      </c>
      <c r="Q97" s="360">
        <v>6.7062999999999997</v>
      </c>
    </row>
    <row r="98" spans="2:17" x14ac:dyDescent="0.4">
      <c r="B98" s="14"/>
      <c r="M98" s="272">
        <f t="shared" si="13"/>
        <v>44750</v>
      </c>
      <c r="N98" s="359">
        <v>1.0139499999999999</v>
      </c>
      <c r="O98" s="359">
        <v>1.19875</v>
      </c>
      <c r="P98" s="359">
        <v>135.89500000000001</v>
      </c>
      <c r="Q98" s="360">
        <v>6.7026500000000002</v>
      </c>
    </row>
    <row r="99" spans="2:17" x14ac:dyDescent="0.4">
      <c r="B99" s="14"/>
      <c r="M99" s="272">
        <f t="shared" si="13"/>
        <v>44753</v>
      </c>
      <c r="N99" s="359">
        <v>1.01145</v>
      </c>
      <c r="O99" s="359">
        <v>1.1958</v>
      </c>
      <c r="P99" s="359">
        <v>137.065</v>
      </c>
      <c r="Q99" s="360">
        <v>6.7092999999999998</v>
      </c>
    </row>
    <row r="100" spans="2:17" x14ac:dyDescent="0.4">
      <c r="B100" s="14"/>
      <c r="M100" s="272">
        <f t="shared" si="13"/>
        <v>44754</v>
      </c>
      <c r="N100" s="359">
        <v>1.0020500000000001</v>
      </c>
      <c r="O100" s="359">
        <v>1.18455</v>
      </c>
      <c r="P100" s="359">
        <v>136.845</v>
      </c>
      <c r="Q100" s="360">
        <v>6.7404500000000001</v>
      </c>
    </row>
    <row r="101" spans="2:17" x14ac:dyDescent="0.4">
      <c r="B101" s="14"/>
      <c r="M101" s="272">
        <f t="shared" si="13"/>
        <v>44755</v>
      </c>
      <c r="N101" s="359">
        <v>1.006</v>
      </c>
      <c r="O101" s="359">
        <v>1.1915</v>
      </c>
      <c r="P101" s="359">
        <v>137.04499999999999</v>
      </c>
      <c r="Q101" s="360">
        <v>6.72905</v>
      </c>
    </row>
    <row r="102" spans="2:17" x14ac:dyDescent="0.4">
      <c r="B102" s="14"/>
      <c r="M102" s="272">
        <f t="shared" si="13"/>
        <v>44756</v>
      </c>
      <c r="N102" s="359">
        <v>1.0016499999999999</v>
      </c>
      <c r="O102" s="359">
        <v>1.1826000000000001</v>
      </c>
      <c r="P102" s="359">
        <v>139.07499999999999</v>
      </c>
      <c r="Q102" s="360">
        <v>6.7627499999999996</v>
      </c>
    </row>
    <row r="103" spans="2:17" x14ac:dyDescent="0.4">
      <c r="B103" s="14"/>
      <c r="M103" s="272">
        <f t="shared" si="13"/>
        <v>44757</v>
      </c>
      <c r="N103" s="359">
        <v>1.0057499999999999</v>
      </c>
      <c r="O103" s="359">
        <v>1.1839500000000001</v>
      </c>
      <c r="P103" s="359">
        <v>138.69499999999999</v>
      </c>
      <c r="Q103" s="360">
        <v>6.7692500000000004</v>
      </c>
    </row>
    <row r="104" spans="2:17" x14ac:dyDescent="0.4">
      <c r="B104" s="14"/>
      <c r="M104" s="272">
        <f t="shared" si="13"/>
        <v>44760</v>
      </c>
      <c r="N104" s="267">
        <v>0</v>
      </c>
      <c r="O104" s="267">
        <v>0</v>
      </c>
      <c r="P104" s="267">
        <v>0</v>
      </c>
      <c r="Q104" s="268">
        <v>0</v>
      </c>
    </row>
    <row r="105" spans="2:17" x14ac:dyDescent="0.4">
      <c r="B105" s="14"/>
      <c r="M105" s="272">
        <f t="shared" si="13"/>
        <v>44761</v>
      </c>
      <c r="N105" s="267">
        <v>0</v>
      </c>
      <c r="O105" s="267">
        <v>0</v>
      </c>
      <c r="P105" s="267">
        <v>0</v>
      </c>
      <c r="Q105" s="268">
        <v>0</v>
      </c>
    </row>
    <row r="106" spans="2:17" x14ac:dyDescent="0.4">
      <c r="B106" s="14"/>
      <c r="M106" s="272">
        <f t="shared" si="13"/>
        <v>44762</v>
      </c>
      <c r="N106" s="267">
        <v>0</v>
      </c>
      <c r="O106" s="267">
        <v>0</v>
      </c>
      <c r="P106" s="267">
        <v>0</v>
      </c>
      <c r="Q106" s="268">
        <v>0</v>
      </c>
    </row>
    <row r="107" spans="2:17" x14ac:dyDescent="0.4">
      <c r="B107" s="14"/>
      <c r="M107" s="272">
        <f t="shared" si="13"/>
        <v>44763</v>
      </c>
      <c r="N107" s="267">
        <v>0</v>
      </c>
      <c r="O107" s="267">
        <v>0</v>
      </c>
      <c r="P107" s="267">
        <v>0</v>
      </c>
      <c r="Q107" s="268">
        <v>0</v>
      </c>
    </row>
    <row r="108" spans="2:17" x14ac:dyDescent="0.4">
      <c r="B108" s="14"/>
      <c r="M108" s="272">
        <f t="shared" si="13"/>
        <v>44764</v>
      </c>
      <c r="N108" s="267">
        <v>0</v>
      </c>
      <c r="O108" s="267">
        <v>0</v>
      </c>
      <c r="P108" s="267">
        <v>0</v>
      </c>
      <c r="Q108" s="268">
        <v>0</v>
      </c>
    </row>
    <row r="109" spans="2:17" x14ac:dyDescent="0.4">
      <c r="B109" s="14"/>
      <c r="M109" s="272">
        <f t="shared" si="13"/>
        <v>44767</v>
      </c>
      <c r="N109" s="267">
        <v>0</v>
      </c>
      <c r="O109" s="267">
        <v>0</v>
      </c>
      <c r="P109" s="267">
        <v>0</v>
      </c>
      <c r="Q109" s="268">
        <v>0</v>
      </c>
    </row>
    <row r="110" spans="2:17" x14ac:dyDescent="0.4">
      <c r="B110" s="14"/>
      <c r="M110" s="272">
        <f t="shared" si="13"/>
        <v>44768</v>
      </c>
      <c r="N110" s="267">
        <v>0</v>
      </c>
      <c r="O110" s="267">
        <v>0</v>
      </c>
      <c r="P110" s="267">
        <v>0</v>
      </c>
      <c r="Q110" s="268">
        <v>0</v>
      </c>
    </row>
    <row r="111" spans="2:17" x14ac:dyDescent="0.4">
      <c r="B111" s="14"/>
      <c r="M111" s="272">
        <f t="shared" si="13"/>
        <v>44769</v>
      </c>
      <c r="N111" s="267">
        <v>0</v>
      </c>
      <c r="O111" s="267">
        <v>0</v>
      </c>
      <c r="P111" s="267">
        <v>0</v>
      </c>
      <c r="Q111" s="268">
        <v>0</v>
      </c>
    </row>
    <row r="112" spans="2:17" x14ac:dyDescent="0.4">
      <c r="B112" s="14"/>
      <c r="M112" s="272">
        <f t="shared" si="13"/>
        <v>44770</v>
      </c>
      <c r="N112" s="267">
        <v>0</v>
      </c>
      <c r="O112" s="267">
        <v>0</v>
      </c>
      <c r="P112" s="267">
        <v>0</v>
      </c>
      <c r="Q112" s="268">
        <v>0</v>
      </c>
    </row>
    <row r="113" spans="2:20" x14ac:dyDescent="0.4">
      <c r="B113" s="14"/>
      <c r="M113" s="272">
        <f t="shared" si="13"/>
        <v>44771</v>
      </c>
      <c r="N113" s="269">
        <v>0</v>
      </c>
      <c r="O113" s="269">
        <v>0</v>
      </c>
      <c r="P113" s="269">
        <v>0</v>
      </c>
      <c r="Q113" s="270">
        <v>0</v>
      </c>
    </row>
    <row r="114" spans="2:20" x14ac:dyDescent="0.4">
      <c r="B114" s="14"/>
      <c r="M114" s="271"/>
    </row>
    <row r="115" spans="2:20" x14ac:dyDescent="0.4">
      <c r="B115" s="14"/>
      <c r="M115" s="14"/>
    </row>
    <row r="116" spans="2:20" x14ac:dyDescent="0.4">
      <c r="B116" s="14"/>
    </row>
    <row r="119" spans="2:20" x14ac:dyDescent="0.4">
      <c r="T119" s="259"/>
    </row>
  </sheetData>
  <sheetProtection algorithmName="SHA-512" hashValue="KZlLsZZ8DqmoiH+KeJXzILMWxSwsm4DgQkv06bKCFrxGcHDkHlb+cCDW/KpiuVb5agye0BSQ4bLdGgm4EgEK8A==" saltValue="EJuwtIJREKIO2Nz0z+62vw==" spinCount="100000" sheet="1" objects="1" scenarios="1"/>
  <sortState xmlns:xlrd2="http://schemas.microsoft.com/office/spreadsheetml/2017/richdata2" ref="B25:I89">
    <sortCondition descending="1" ref="B25:B89"/>
  </sortState>
  <mergeCells count="22">
    <mergeCell ref="K87:K92"/>
    <mergeCell ref="E13:E14"/>
    <mergeCell ref="C22:D22"/>
    <mergeCell ref="F10:I11"/>
    <mergeCell ref="B13:B14"/>
    <mergeCell ref="B23:I23"/>
    <mergeCell ref="M2:Q2"/>
    <mergeCell ref="M1:Q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s>
  <conditionalFormatting sqref="J26">
    <cfRule type="containsText" dxfId="36" priority="14" operator="containsText" text="true">
      <formula>NOT(ISERROR(SEARCH("true",J26)))</formula>
    </cfRule>
    <cfRule type="containsText" dxfId="35" priority="15" operator="containsText" text="false">
      <formula>NOT(ISERROR(SEARCH("false",J26)))</formula>
    </cfRule>
  </conditionalFormatting>
  <conditionalFormatting sqref="J27">
    <cfRule type="containsText" dxfId="34" priority="12" operator="containsText" text="false">
      <formula>NOT(ISERROR(SEARCH("false",J27)))</formula>
    </cfRule>
    <cfRule type="containsText" dxfId="33" priority="13" operator="containsText" text="true">
      <formula>NOT(ISERROR(SEARCH("true",J27)))</formula>
    </cfRule>
  </conditionalFormatting>
  <conditionalFormatting sqref="I4">
    <cfRule type="containsText" dxfId="32" priority="8" operator="containsText" text="Not OK">
      <formula>NOT(ISERROR(SEARCH("Not OK",I4)))</formula>
    </cfRule>
    <cfRule type="containsText" dxfId="31" priority="9" operator="containsText" text="ok">
      <formula>NOT(ISERROR(SEARCH("ok",I4)))</formula>
    </cfRule>
  </conditionalFormatting>
  <conditionalFormatting sqref="C28:I92">
    <cfRule type="containsBlanks" dxfId="30" priority="5">
      <formula>LEN(TRIM(C28))=0</formula>
    </cfRule>
  </conditionalFormatting>
  <conditionalFormatting sqref="J87:J92">
    <cfRule type="containsText" dxfId="29" priority="3" operator="containsText" text="false">
      <formula>NOT(ISERROR(SEARCH("false",J87)))</formula>
    </cfRule>
    <cfRule type="containsText" dxfId="28" priority="4" operator="containsText" text="true">
      <formula>NOT(ISERROR(SEARCH("true",J87)))</formula>
    </cfRule>
  </conditionalFormatting>
  <conditionalFormatting sqref="J93">
    <cfRule type="containsText" dxfId="27" priority="1" operator="containsText" text="false">
      <formula>NOT(ISERROR(SEARCH("false",J93)))</formula>
    </cfRule>
    <cfRule type="containsText" dxfId="26" priority="2" operator="containsText" text="true">
      <formula>NOT(ISERROR(SEARCH("true",J93)))</formula>
    </cfRule>
  </conditionalFormatting>
  <hyperlinks>
    <hyperlink ref="A14"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
  <sheetViews>
    <sheetView showGridLines="0" workbookViewId="0"/>
  </sheetViews>
  <sheetFormatPr defaultRowHeight="14.5" x14ac:dyDescent="0.3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Q40"/>
  <sheetViews>
    <sheetView showGridLines="0" zoomScaleNormal="100" workbookViewId="0"/>
  </sheetViews>
  <sheetFormatPr defaultColWidth="9.1796875" defaultRowHeight="16" x14ac:dyDescent="0.45"/>
  <cols>
    <col min="1" max="1" width="2.54296875" style="4" customWidth="1"/>
    <col min="2" max="2" width="46.81640625" style="4" customWidth="1"/>
    <col min="3" max="3" width="13.453125" style="4" customWidth="1"/>
    <col min="4" max="4" width="17" style="4" customWidth="1"/>
    <col min="5" max="5" width="19.453125" style="4" customWidth="1"/>
    <col min="6" max="6" width="23" style="4" bestFit="1" customWidth="1"/>
    <col min="7" max="7" width="14" style="4" customWidth="1"/>
    <col min="8" max="8" width="1.453125" style="4" customWidth="1"/>
    <col min="9" max="9" width="14.453125" style="4" bestFit="1" customWidth="1"/>
    <col min="10" max="10" width="16.1796875" style="4" customWidth="1"/>
    <col min="11" max="11" width="22.26953125" style="4" customWidth="1"/>
    <col min="12" max="12" width="9.1796875" style="4"/>
    <col min="13" max="13" width="14.1796875" style="4" customWidth="1"/>
    <col min="14" max="14" width="9.1796875" style="4"/>
    <col min="15" max="15" width="1.26953125" style="4" customWidth="1"/>
    <col min="16" max="16" width="9.1796875" style="4"/>
    <col min="17" max="17" width="9.453125" style="4" bestFit="1" customWidth="1"/>
    <col min="18" max="16384" width="9.1796875" style="4"/>
  </cols>
  <sheetData>
    <row r="1" spans="2:17" ht="66.75" customHeight="1" x14ac:dyDescent="0.45">
      <c r="B1" s="342" t="s">
        <v>59</v>
      </c>
      <c r="C1" s="343"/>
      <c r="D1" s="343"/>
      <c r="E1" s="343"/>
      <c r="F1" s="343"/>
      <c r="G1" s="343"/>
      <c r="H1" s="343"/>
      <c r="I1" s="343"/>
      <c r="J1" s="343"/>
      <c r="K1" s="343"/>
    </row>
    <row r="2" spans="2:17" x14ac:dyDescent="0.45">
      <c r="B2" s="8"/>
      <c r="C2" s="8"/>
      <c r="D2" s="8"/>
      <c r="E2" s="8"/>
      <c r="F2" s="8"/>
      <c r="G2" s="8"/>
      <c r="H2" s="5"/>
      <c r="I2" s="8"/>
      <c r="J2" s="8"/>
      <c r="K2" s="8"/>
    </row>
    <row r="3" spans="2:17" ht="44.25" customHeight="1" x14ac:dyDescent="0.45">
      <c r="B3" s="346" t="s">
        <v>22</v>
      </c>
      <c r="C3" s="27"/>
      <c r="D3" s="28" t="s">
        <v>4</v>
      </c>
      <c r="E3" s="28" t="s">
        <v>17</v>
      </c>
      <c r="F3" s="28" t="s">
        <v>17</v>
      </c>
      <c r="G3" s="29" t="str">
        <f>"SDR Value ("&amp;TEXT('Inputs (Edit)'!E10,"mm/dd/yyyy")&amp;")"</f>
        <v>SDR Value (07/15/2022)</v>
      </c>
      <c r="H3" s="5"/>
      <c r="I3" s="30"/>
      <c r="J3" s="28"/>
      <c r="K3" s="78" t="s">
        <v>16</v>
      </c>
      <c r="L3" s="31"/>
    </row>
    <row r="4" spans="2:17" ht="14.25" customHeight="1" x14ac:dyDescent="0.45">
      <c r="B4" s="347"/>
      <c r="C4" s="32"/>
      <c r="D4" s="33" t="str">
        <f>"(1)"</f>
        <v>(1)</v>
      </c>
      <c r="E4" s="33" t="str">
        <f>"(2)"</f>
        <v>(2)</v>
      </c>
      <c r="F4" s="33" t="str">
        <f>"(3)"</f>
        <v>(3)</v>
      </c>
      <c r="G4" s="34" t="str">
        <f>"(4)"</f>
        <v>(4)</v>
      </c>
      <c r="H4" s="5"/>
      <c r="I4" s="35" t="str">
        <f>"(5) = (1)/100/(2)"</f>
        <v>(5) = (1)/100/(2)</v>
      </c>
      <c r="J4" s="33" t="str">
        <f>"(6) = (5)*(3)"</f>
        <v>(6) = (5)*(3)</v>
      </c>
      <c r="K4" s="79" t="str">
        <f>"(8) = (4)*(5)/(7)"</f>
        <v>(8) = (4)*(5)/(7)</v>
      </c>
      <c r="L4" s="31"/>
    </row>
    <row r="5" spans="2:17" ht="15" customHeight="1" x14ac:dyDescent="0.45">
      <c r="B5" s="347"/>
      <c r="C5" s="6" t="s">
        <v>7</v>
      </c>
      <c r="D5" s="58">
        <f>VLOOKUP(C5,'Inputs (Edit)'!$C$16:$E$20,3,FALSE)</f>
        <v>43.38</v>
      </c>
      <c r="E5" s="58">
        <f>HLOOKUP(C5,'Inputs (Edit)'!$C$24:$H$30,2,FALSE)</f>
        <v>1</v>
      </c>
      <c r="F5" s="58">
        <f>HLOOKUP(C5,'Inputs (Edit)'!$C$24:$H$30,4,FALSE)</f>
        <v>1</v>
      </c>
      <c r="G5" s="59">
        <f>'Inputs (Edit)'!E13</f>
        <v>1.30931</v>
      </c>
      <c r="H5" s="5"/>
      <c r="I5" s="36">
        <f>(D5/100)/E5</f>
        <v>0.43380000000000002</v>
      </c>
      <c r="J5" s="9">
        <f>I5*F5</f>
        <v>0.43380000000000002</v>
      </c>
      <c r="K5" s="80">
        <f>I5*G5/J10</f>
        <v>0.58070282280932062</v>
      </c>
      <c r="L5" s="50" t="str">
        <f>IF(K5&lt;0.01,"Not OK","OK")</f>
        <v>OK</v>
      </c>
      <c r="M5" s="349" t="s">
        <v>66</v>
      </c>
      <c r="N5" s="349"/>
      <c r="O5" s="349"/>
      <c r="P5" s="349"/>
      <c r="Q5" s="349"/>
    </row>
    <row r="6" spans="2:17" ht="15" customHeight="1" x14ac:dyDescent="0.45">
      <c r="B6" s="347"/>
      <c r="C6" s="6" t="s">
        <v>1</v>
      </c>
      <c r="D6" s="58">
        <f>VLOOKUP(C6,'Inputs (Edit)'!$C$16:$E$20,3,FALSE)</f>
        <v>29.31</v>
      </c>
      <c r="E6" s="58">
        <f>HLOOKUP(C6,'Inputs (Edit)'!$C$24:$H$30,2,FALSE)</f>
        <v>1.0532638461538464</v>
      </c>
      <c r="F6" s="58">
        <f>HLOOKUP(C6,'Inputs (Edit)'!$C$24:$H$30,4,FALSE)</f>
        <v>1.0057499999999999</v>
      </c>
      <c r="G6" s="59">
        <f>'Inputs (Edit)'!E13</f>
        <v>1.30931</v>
      </c>
      <c r="H6" s="5"/>
      <c r="I6" s="36">
        <f>(D6/100)/E6</f>
        <v>0.27827785133829414</v>
      </c>
      <c r="J6" s="9">
        <f>I6*F6</f>
        <v>0.27987794898348928</v>
      </c>
      <c r="K6" s="80">
        <f>I6*G6/J10</f>
        <v>0.37251437021083417</v>
      </c>
      <c r="L6" s="50" t="str">
        <f t="shared" ref="L6:L9" si="0">IF(K6&lt;0.01,"Not OK","OK")</f>
        <v>OK</v>
      </c>
      <c r="M6" s="349"/>
      <c r="N6" s="349"/>
      <c r="O6" s="349"/>
      <c r="P6" s="349"/>
      <c r="Q6" s="349"/>
    </row>
    <row r="7" spans="2:17" ht="15" customHeight="1" x14ac:dyDescent="0.45">
      <c r="B7" s="347"/>
      <c r="C7" s="6" t="s">
        <v>2</v>
      </c>
      <c r="D7" s="58">
        <f>VLOOKUP(C7,'Inputs (Edit)'!$C$16:$E$20,3,FALSE)</f>
        <v>7.44</v>
      </c>
      <c r="E7" s="58">
        <f>HLOOKUP(C7,'Inputs (Edit)'!$C$24:$H$30,2,FALSE)</f>
        <v>1.2381038461538467</v>
      </c>
      <c r="F7" s="58">
        <f>HLOOKUP(C7,'Inputs (Edit)'!$C$24:$H$30,4,FALSE)</f>
        <v>1.1839500000000001</v>
      </c>
      <c r="G7" s="59">
        <f>'Inputs (Edit)'!E13</f>
        <v>1.30931</v>
      </c>
      <c r="H7" s="5"/>
      <c r="I7" s="36">
        <f>(D7/100)/E7</f>
        <v>6.0091889893664922E-2</v>
      </c>
      <c r="J7" s="9">
        <f>I7*F7</f>
        <v>7.1145793039604582E-2</v>
      </c>
      <c r="K7" s="80">
        <f>I7*G7/J10</f>
        <v>8.0441517033651683E-2</v>
      </c>
      <c r="L7" s="50" t="str">
        <f t="shared" si="0"/>
        <v>OK</v>
      </c>
      <c r="M7" s="349"/>
      <c r="N7" s="349"/>
      <c r="O7" s="349"/>
      <c r="P7" s="349"/>
      <c r="Q7" s="349"/>
    </row>
    <row r="8" spans="2:17" ht="15" customHeight="1" x14ac:dyDescent="0.45">
      <c r="B8" s="347"/>
      <c r="C8" s="6" t="s">
        <v>6</v>
      </c>
      <c r="D8" s="58">
        <f>VLOOKUP(C8,'Inputs (Edit)'!$C$16:$E$20,3,FALSE)</f>
        <v>7.59</v>
      </c>
      <c r="E8" s="58">
        <f>HLOOKUP("1/JPY",'Inputs (Edit)'!$C$24:$H$30,2,FALSE)</f>
        <v>7.5935552874000552E-3</v>
      </c>
      <c r="F8" s="58">
        <f>HLOOKUP("1/JPY",'Inputs (Edit)'!$C$24:$H$30,4,FALSE)</f>
        <v>7.2100652510905224E-3</v>
      </c>
      <c r="G8" s="59">
        <f>'Inputs (Edit)'!E13</f>
        <v>1.30931</v>
      </c>
      <c r="H8" s="5"/>
      <c r="I8" s="36">
        <f>(D8/100)/E8</f>
        <v>9.9953180199978853</v>
      </c>
      <c r="J8" s="9">
        <f>I8*F8</f>
        <v>7.2066895129585681E-2</v>
      </c>
      <c r="K8" s="80">
        <f>I8*G8/J10</f>
        <v>13.380150735568559</v>
      </c>
      <c r="L8" s="50" t="str">
        <f t="shared" si="0"/>
        <v>OK</v>
      </c>
      <c r="M8" s="349"/>
      <c r="N8" s="349"/>
      <c r="O8" s="349"/>
      <c r="P8" s="349"/>
      <c r="Q8" s="349"/>
    </row>
    <row r="9" spans="2:17" ht="15" customHeight="1" x14ac:dyDescent="0.45">
      <c r="B9" s="348"/>
      <c r="C9" s="7" t="s">
        <v>3</v>
      </c>
      <c r="D9" s="60">
        <f>VLOOKUP(C9,'Inputs (Edit)'!$C$16:$E$20,3,FALSE)</f>
        <v>12.28</v>
      </c>
      <c r="E9" s="60">
        <f>HLOOKUP("1/RMB",'Inputs (Edit)'!$C$24:$I$30,2,FALSE)</f>
        <v>0.14967984117901617</v>
      </c>
      <c r="F9" s="60">
        <f>HLOOKUP("1/RMB",'Inputs (Edit)'!$C$24:$I$30,4,FALSE)</f>
        <v>0.14772685304871291</v>
      </c>
      <c r="G9" s="61">
        <f>'Inputs (Edit)'!E13</f>
        <v>1.30931</v>
      </c>
      <c r="H9" s="5"/>
      <c r="I9" s="37">
        <f>(D9/100)/E9</f>
        <v>0.82041775988479271</v>
      </c>
      <c r="J9" s="7">
        <f>I9*F9</f>
        <v>0.121197733853055</v>
      </c>
      <c r="K9" s="81">
        <f>I9*G9/J10</f>
        <v>1.0982455256984749</v>
      </c>
      <c r="L9" s="50" t="str">
        <f t="shared" si="0"/>
        <v>OK</v>
      </c>
      <c r="M9" s="349"/>
      <c r="N9" s="349"/>
      <c r="O9" s="349"/>
      <c r="P9" s="349"/>
      <c r="Q9" s="349"/>
    </row>
    <row r="10" spans="2:17" x14ac:dyDescent="0.45">
      <c r="B10" s="38"/>
      <c r="C10" s="9"/>
      <c r="H10" s="5"/>
      <c r="I10" s="39" t="str">
        <f>"(7)"</f>
        <v>(7)</v>
      </c>
      <c r="J10" s="9">
        <f>SUM(J5:J9)</f>
        <v>0.97808837100573442</v>
      </c>
    </row>
    <row r="11" spans="2:17" x14ac:dyDescent="0.45">
      <c r="I11" s="9"/>
    </row>
    <row r="12" spans="2:17" x14ac:dyDescent="0.45">
      <c r="C12"/>
    </row>
    <row r="13" spans="2:17" x14ac:dyDescent="0.45">
      <c r="C13" s="5"/>
      <c r="D13" s="5"/>
      <c r="E13" s="5"/>
      <c r="F13" s="5"/>
      <c r="G13" s="5"/>
      <c r="H13" s="5"/>
      <c r="I13" s="5"/>
      <c r="J13" s="5"/>
      <c r="K13" s="5"/>
    </row>
    <row r="14" spans="2:17" x14ac:dyDescent="0.45">
      <c r="B14" s="8"/>
      <c r="C14" s="5"/>
      <c r="D14" s="5"/>
      <c r="E14" s="8"/>
      <c r="F14" s="8"/>
      <c r="G14" s="8"/>
      <c r="H14" s="8"/>
      <c r="I14" s="8"/>
      <c r="J14" s="8"/>
      <c r="K14" s="8"/>
    </row>
    <row r="15" spans="2:17" ht="54" customHeight="1" x14ac:dyDescent="0.45">
      <c r="B15" s="346" t="s">
        <v>40</v>
      </c>
      <c r="C15" s="40"/>
      <c r="D15" s="41" t="s">
        <v>18</v>
      </c>
      <c r="E15" s="229"/>
      <c r="F15" s="42"/>
      <c r="G15" s="43" t="s">
        <v>19</v>
      </c>
      <c r="H15" s="53"/>
      <c r="I15" s="44" t="s">
        <v>20</v>
      </c>
      <c r="J15" s="29" t="s">
        <v>26</v>
      </c>
      <c r="K15" s="44"/>
      <c r="M15" s="344"/>
    </row>
    <row r="16" spans="2:17" ht="23.25" customHeight="1" x14ac:dyDescent="0.45">
      <c r="B16" s="347"/>
      <c r="C16" s="45"/>
      <c r="D16" s="46" t="str">
        <f>"(8)"</f>
        <v>(8)</v>
      </c>
      <c r="E16" s="75" t="str">
        <f>"(9)"</f>
        <v>(9)</v>
      </c>
      <c r="F16" s="47" t="str">
        <f>"(10)=(9)*(3)"</f>
        <v>(10)=(9)*(3)</v>
      </c>
      <c r="G16" s="47" t="str">
        <f>"(11)"</f>
        <v>(11)</v>
      </c>
      <c r="H16" s="54"/>
      <c r="I16" s="55" t="str">
        <f>"(12)"</f>
        <v>(12)</v>
      </c>
      <c r="J16" s="48" t="str">
        <f>"(13)"</f>
        <v>(13)</v>
      </c>
      <c r="K16" s="48" t="str">
        <f>"(14) = (12)*(3)"</f>
        <v>(14) = (12)*(3)</v>
      </c>
      <c r="M16" s="344"/>
    </row>
    <row r="17" spans="2:17" x14ac:dyDescent="0.45">
      <c r="B17" s="347"/>
      <c r="C17" s="49" t="s">
        <v>7</v>
      </c>
      <c r="D17" s="91">
        <f>K5</f>
        <v>0.58070282280932062</v>
      </c>
      <c r="E17" s="130"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0.58070</v>
      </c>
      <c r="F17" s="107">
        <f>E17*F5</f>
        <v>0.58069999999999999</v>
      </c>
      <c r="G17" s="127">
        <f>G5-F22</f>
        <v>1.0000000000065512E-5</v>
      </c>
      <c r="H17" s="101"/>
      <c r="I17" s="94"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0.58071</v>
      </c>
      <c r="J17" s="112">
        <f>IF(OR(G23=6,G17=0),"n.a.",LEN(RIGHT(I17,LEN(I17)-FIND(".",I17))))</f>
        <v>5</v>
      </c>
      <c r="K17" s="102">
        <f>IF(OR($G$23=6,$G$17=0),"n.a.",I17*F5)</f>
        <v>0.58070999999999995</v>
      </c>
      <c r="L17" s="31"/>
      <c r="M17" s="88"/>
      <c r="P17" s="82"/>
      <c r="Q17" s="82"/>
    </row>
    <row r="18" spans="2:17" x14ac:dyDescent="0.45">
      <c r="B18" s="347"/>
      <c r="C18" s="50" t="s">
        <v>1</v>
      </c>
      <c r="D18" s="92">
        <f t="shared" ref="D18:D21" si="1">K6</f>
        <v>0.37251437021083417</v>
      </c>
      <c r="E18" s="123"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0.37251</v>
      </c>
      <c r="F18" s="6">
        <f>E18*F6</f>
        <v>0.37465193249999995</v>
      </c>
      <c r="G18" s="131"/>
      <c r="H18" s="106"/>
      <c r="I18" s="94"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0.37251</v>
      </c>
      <c r="J18" s="103"/>
      <c r="K18" s="104">
        <f>IF(OR($G$23=6,$G$17=0),"n.a.",I18*F6)</f>
        <v>0.37465193249999995</v>
      </c>
      <c r="L18" s="31"/>
      <c r="P18" s="82"/>
      <c r="Q18" s="82"/>
    </row>
    <row r="19" spans="2:17" x14ac:dyDescent="0.45">
      <c r="B19" s="347"/>
      <c r="C19" s="50" t="s">
        <v>2</v>
      </c>
      <c r="D19" s="92">
        <f t="shared" si="1"/>
        <v>8.0441517033651683E-2</v>
      </c>
      <c r="E19" s="123"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0.080442</v>
      </c>
      <c r="F19" s="6">
        <f>E19*F7</f>
        <v>9.5239305900000001E-2</v>
      </c>
      <c r="G19" s="131"/>
      <c r="H19" s="106"/>
      <c r="I19" s="94"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0.080442</v>
      </c>
      <c r="J19" s="103"/>
      <c r="K19" s="104">
        <f>IF(OR($G$23=6,$G$17=0),"n.a.",I19*F7)</f>
        <v>9.5239305900000001E-2</v>
      </c>
      <c r="L19" s="31"/>
      <c r="M19" s="119"/>
      <c r="P19" s="82"/>
      <c r="Q19" s="141"/>
    </row>
    <row r="20" spans="2:17" x14ac:dyDescent="0.45">
      <c r="B20" s="347"/>
      <c r="C20" s="50" t="s">
        <v>6</v>
      </c>
      <c r="D20" s="92">
        <f t="shared" si="1"/>
        <v>13.380150735568559</v>
      </c>
      <c r="E20" s="123"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13.380</v>
      </c>
      <c r="F20" s="6">
        <f>E20*F8</f>
        <v>9.64706730595912E-2</v>
      </c>
      <c r="G20" s="131"/>
      <c r="H20" s="106"/>
      <c r="I20" s="94"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13.380</v>
      </c>
      <c r="J20" s="103"/>
      <c r="K20" s="104">
        <f>IF(OR($G$23=6,$G$17=0),"n.a.",I20*F8)</f>
        <v>9.64706730595912E-2</v>
      </c>
      <c r="L20" s="31"/>
      <c r="P20" s="82"/>
      <c r="Q20" s="141"/>
    </row>
    <row r="21" spans="2:17" x14ac:dyDescent="0.45">
      <c r="B21" s="348"/>
      <c r="C21" s="51" t="s">
        <v>3</v>
      </c>
      <c r="D21" s="93">
        <f t="shared" si="1"/>
        <v>1.0982455256984749</v>
      </c>
      <c r="E21" s="124"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1.0982</v>
      </c>
      <c r="F21" s="89">
        <f>E21*F9</f>
        <v>0.16223363001809654</v>
      </c>
      <c r="G21" s="132"/>
      <c r="H21" s="57"/>
      <c r="I21" s="98"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1.0982</v>
      </c>
      <c r="J21" s="113"/>
      <c r="K21" s="105">
        <f>IF(OR($G$23=6,$G$17=0),"n.a.",I21*F9)</f>
        <v>0.16223363001809654</v>
      </c>
      <c r="L21" s="31"/>
      <c r="P21" s="82"/>
      <c r="Q21" s="82"/>
    </row>
    <row r="22" spans="2:17" x14ac:dyDescent="0.45">
      <c r="F22" s="120">
        <f>IF(SUM(F17:F21)&gt;1,ROUND(SUM(F17:F21),5),ROUND(SUM(F17:F21),6))</f>
        <v>1.3092999999999999</v>
      </c>
      <c r="G22" s="128">
        <f>G17+E17</f>
        <v>0.58071000000000006</v>
      </c>
      <c r="K22" s="90">
        <f>IF(OR($G$23=6,$G$17=0),"n.a.",IF(SUM(K17:K21)&gt;1,ROUND(SUM(K17:K21),5),ROUND(SUM(K17:K21),6)))</f>
        <v>1.30931</v>
      </c>
      <c r="M22" s="138" t="s">
        <v>41</v>
      </c>
    </row>
    <row r="23" spans="2:17" x14ac:dyDescent="0.45">
      <c r="E23" s="133" t="s">
        <v>38</v>
      </c>
      <c r="F23" s="6" t="b">
        <f>F22=G5</f>
        <v>0</v>
      </c>
      <c r="G23" s="129">
        <f>MAX(5,IF(G22&gt;0.1,LEN(MID(G22,IF(ROUND(-LOG10(G22),0)=0,3,ROUND(-LOG10(G22),0)+2),99)),0))</f>
        <v>5</v>
      </c>
      <c r="J23" s="133" t="s">
        <v>38</v>
      </c>
      <c r="K23" s="6" t="b">
        <f>IF(OR(G23=6,G17=0),"n.a.",K22=G5)</f>
        <v>1</v>
      </c>
      <c r="M23" s="118" t="str">
        <f>IF(F23=TRUE,"R5",IF(AND(G23=5,K23=TRUE),"R5+Adj",IF(AND(G23=6,F35=TRUE),"R6",IF(AND(G23=6,F35=FALSE,K35=TRUE),"R6+Adj"))))</f>
        <v>R5+Adj</v>
      </c>
    </row>
    <row r="24" spans="2:17" x14ac:dyDescent="0.45">
      <c r="F24" s="95" t="str">
        <f>IF(F23=FALSE,"Adjustment Needed", "No Adjustment is Needed")</f>
        <v>Adjustment Needed</v>
      </c>
      <c r="H24" s="100"/>
      <c r="K24" s="6"/>
    </row>
    <row r="27" spans="2:17" ht="54" customHeight="1" x14ac:dyDescent="0.45">
      <c r="B27" s="346" t="s">
        <v>44</v>
      </c>
      <c r="C27" s="40"/>
      <c r="D27" s="41" t="s">
        <v>18</v>
      </c>
      <c r="E27" s="74" t="s">
        <v>43</v>
      </c>
      <c r="F27" s="42"/>
      <c r="G27" s="43" t="s">
        <v>19</v>
      </c>
      <c r="H27" s="53"/>
      <c r="I27" s="44" t="s">
        <v>20</v>
      </c>
      <c r="J27" s="29" t="s">
        <v>26</v>
      </c>
      <c r="K27" s="44"/>
      <c r="M27" s="344"/>
    </row>
    <row r="28" spans="2:17" ht="23.25" customHeight="1" x14ac:dyDescent="0.45">
      <c r="B28" s="347"/>
      <c r="C28" s="45"/>
      <c r="D28" s="46" t="str">
        <f>"(8)"</f>
        <v>(8)</v>
      </c>
      <c r="E28" s="75" t="str">
        <f>"(9)"</f>
        <v>(9)</v>
      </c>
      <c r="F28" s="47" t="str">
        <f>"(10)=(9)*(3)"</f>
        <v>(10)=(9)*(3)</v>
      </c>
      <c r="G28" s="47" t="str">
        <f>"(11)"</f>
        <v>(11)</v>
      </c>
      <c r="H28" s="54"/>
      <c r="I28" s="55" t="str">
        <f>"(12)"</f>
        <v>(12)</v>
      </c>
      <c r="J28" s="48" t="str">
        <f>"(13)"</f>
        <v>(13)</v>
      </c>
      <c r="K28" s="48" t="str">
        <f>"(14) = (12)*(3)"</f>
        <v>(14) = (12)*(3)</v>
      </c>
      <c r="M28" s="344"/>
    </row>
    <row r="29" spans="2:17" x14ac:dyDescent="0.45">
      <c r="B29" s="347"/>
      <c r="C29" s="49" t="s">
        <v>7</v>
      </c>
      <c r="D29" s="108" t="str">
        <f>IF($G$23=5,"n.a.",D17)</f>
        <v>n.a.</v>
      </c>
      <c r="E29" s="125"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7" t="str">
        <f>IFERROR(E29*F5,"n.a.")</f>
        <v>n.a.</v>
      </c>
      <c r="G29" s="109" t="str">
        <f>IF(G23=5,"n.a.",G5-F34)</f>
        <v>n.a.</v>
      </c>
      <c r="H29" s="101"/>
      <c r="I29" s="94"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0" t="str">
        <f>IF(OR(G23=5,G29=0),"n.a.",LEN(RIGHT(I29,LEN(I29)-FIND(".",I29))))</f>
        <v>n.a.</v>
      </c>
      <c r="K29" s="111" t="str">
        <f>IF(OR($G$23=5,$G$29=0),"n.a.",I29*F5)</f>
        <v>n.a.</v>
      </c>
      <c r="M29" s="88"/>
      <c r="P29" s="95"/>
      <c r="Q29" s="95"/>
    </row>
    <row r="30" spans="2:17" x14ac:dyDescent="0.45">
      <c r="B30" s="347"/>
      <c r="C30" s="50" t="s">
        <v>1</v>
      </c>
      <c r="D30" s="76" t="str">
        <f>IF($G$23=5,"n.a.",D18)</f>
        <v>n.a.</v>
      </c>
      <c r="E30" s="126"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6" t="str">
        <f t="shared" ref="F30:F33" si="2">IFERROR(E30*F6,"n.a.")</f>
        <v>n.a.</v>
      </c>
      <c r="G30" s="131"/>
      <c r="H30" s="56"/>
      <c r="I30" s="94"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4"/>
      <c r="K30" s="111" t="str">
        <f t="shared" ref="K30:K33" si="3">IF(OR($G$23=5,$G$29=0),"n.a.",I30*F6)</f>
        <v>n.a.</v>
      </c>
      <c r="P30" s="95"/>
      <c r="Q30" s="95"/>
    </row>
    <row r="31" spans="2:17" x14ac:dyDescent="0.45">
      <c r="B31" s="347"/>
      <c r="C31" s="50" t="s">
        <v>2</v>
      </c>
      <c r="D31" s="76" t="str">
        <f>IF($G$23=5,"n.a.",D19)</f>
        <v>n.a.</v>
      </c>
      <c r="E31" s="126"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6" t="str">
        <f t="shared" si="2"/>
        <v>n.a.</v>
      </c>
      <c r="G31" s="131"/>
      <c r="H31" s="56"/>
      <c r="I31" s="94"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4"/>
      <c r="K31" s="111" t="str">
        <f t="shared" si="3"/>
        <v>n.a.</v>
      </c>
      <c r="P31" s="95"/>
      <c r="Q31" s="95"/>
    </row>
    <row r="32" spans="2:17" x14ac:dyDescent="0.45">
      <c r="B32" s="347"/>
      <c r="C32" s="50" t="s">
        <v>6</v>
      </c>
      <c r="D32" s="76" t="str">
        <f>IF($G$23=5,"n.a.",D20)</f>
        <v>n.a.</v>
      </c>
      <c r="E32" s="126"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6" t="str">
        <f t="shared" si="2"/>
        <v>n.a.</v>
      </c>
      <c r="G32" s="131"/>
      <c r="H32" s="56"/>
      <c r="I32" s="94"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4"/>
      <c r="K32" s="111" t="str">
        <f t="shared" si="3"/>
        <v>n.a.</v>
      </c>
      <c r="P32" s="95"/>
      <c r="Q32" s="95"/>
    </row>
    <row r="33" spans="2:17" x14ac:dyDescent="0.45">
      <c r="B33" s="348"/>
      <c r="C33" s="51" t="s">
        <v>3</v>
      </c>
      <c r="D33" s="77" t="str">
        <f>IF($G$23=5,"n.a.",D21)</f>
        <v>n.a.</v>
      </c>
      <c r="E33" s="124"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1" t="str">
        <f t="shared" si="2"/>
        <v>n.a.</v>
      </c>
      <c r="G33" s="132"/>
      <c r="H33" s="57"/>
      <c r="I33" s="98"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5"/>
      <c r="K33" s="105" t="str">
        <f t="shared" si="3"/>
        <v>n.a.</v>
      </c>
      <c r="P33" s="95"/>
      <c r="Q33" s="95"/>
    </row>
    <row r="34" spans="2:17" x14ac:dyDescent="0.45">
      <c r="F34" s="90" t="str">
        <f>IF(G23=5,"n.a.",IF(SUM(F29:F33)&gt;1,ROUND(SUM(F29:F33),5),ROUND(SUM(F29:F33),6)))</f>
        <v>n.a.</v>
      </c>
      <c r="K34" s="90" t="str">
        <f>IF(OR(G23=5,G29=0),"n.a.",IF(SUM(K29:K33)&gt;1,ROUND(SUM(K29:K33),5),ROUND(SUM(K29:K33),6)))</f>
        <v>n.a.</v>
      </c>
    </row>
    <row r="35" spans="2:17" x14ac:dyDescent="0.45">
      <c r="E35" s="133" t="s">
        <v>38</v>
      </c>
      <c r="F35" s="6" t="str">
        <f>IF(G23=5,"n.a.",F34=G5)</f>
        <v>n.a.</v>
      </c>
      <c r="I35" s="52"/>
      <c r="J35" s="133" t="s">
        <v>38</v>
      </c>
      <c r="K35" s="90" t="str">
        <f>IF(OR(G23=5,G29=0),"n.a.",K34=G5)</f>
        <v>n.a.</v>
      </c>
      <c r="M35" s="96"/>
    </row>
    <row r="36" spans="2:17" x14ac:dyDescent="0.45">
      <c r="F36" s="95" t="str">
        <f>IF(G23=5,"n.a.",IF(F35=FALSE,"Adjustment Needed", "No Adjustment is Needed"))</f>
        <v>n.a.</v>
      </c>
      <c r="G36" s="99"/>
      <c r="H36" s="5"/>
      <c r="I36" s="5"/>
      <c r="J36" s="5"/>
      <c r="K36" s="6"/>
    </row>
    <row r="39" spans="2:17" ht="33" customHeight="1" x14ac:dyDescent="0.45">
      <c r="B39" s="345" t="s">
        <v>45</v>
      </c>
      <c r="C39" s="345"/>
      <c r="D39" s="345"/>
      <c r="E39" s="345"/>
      <c r="F39" s="345"/>
      <c r="G39" s="345"/>
      <c r="H39" s="345"/>
      <c r="I39" s="345"/>
      <c r="J39" s="345"/>
      <c r="K39" s="345"/>
    </row>
    <row r="40" spans="2:17" x14ac:dyDescent="0.45">
      <c r="B40" s="142"/>
      <c r="C40" s="142"/>
      <c r="D40" s="142"/>
      <c r="E40" s="142"/>
      <c r="F40" s="142"/>
      <c r="G40" s="142"/>
      <c r="H40" s="142"/>
      <c r="I40" s="142"/>
      <c r="J40" s="142"/>
      <c r="K40" s="142"/>
    </row>
  </sheetData>
  <sheetProtection algorithmName="SHA-512" hashValue="WKGfKPM4zD4G2ysLwL1MVRdcI+g7zqc0tKQVggSVekZaJDO2io/ObhtCmamlf2Kjs3NYZm/qgUscT4gZQ8gbBw==" saltValue="/BxsQDyOyazr60/gRpWvpg=="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P11"/>
  <sheetViews>
    <sheetView showGridLines="0" workbookViewId="0"/>
  </sheetViews>
  <sheetFormatPr defaultColWidth="9.1796875" defaultRowHeight="16" x14ac:dyDescent="0.45"/>
  <cols>
    <col min="1" max="1" width="2.1796875" style="4" customWidth="1"/>
    <col min="2" max="2" width="9.1796875" style="4"/>
    <col min="3" max="3" width="5.1796875" style="4" customWidth="1"/>
    <col min="4" max="4" width="15.26953125" style="4" bestFit="1" customWidth="1"/>
    <col min="5" max="5" width="27.453125" style="4" bestFit="1" customWidth="1"/>
    <col min="6" max="6" width="6" style="4" customWidth="1"/>
    <col min="7" max="9" width="9.1796875" style="4"/>
    <col min="10" max="10" width="14.54296875" style="4" bestFit="1" customWidth="1"/>
    <col min="11" max="16384" width="9.1796875" style="4"/>
  </cols>
  <sheetData>
    <row r="1" spans="2:16" ht="267" customHeight="1" x14ac:dyDescent="0.45">
      <c r="B1" s="351" t="s">
        <v>74</v>
      </c>
      <c r="C1" s="351"/>
      <c r="D1" s="351"/>
      <c r="E1" s="351"/>
      <c r="F1" s="351"/>
      <c r="G1" s="351"/>
      <c r="H1" s="351"/>
      <c r="I1" s="351"/>
      <c r="J1" s="351"/>
      <c r="K1" s="351"/>
      <c r="L1" s="351"/>
      <c r="M1" s="351"/>
      <c r="N1" s="351"/>
      <c r="O1" s="351"/>
      <c r="P1" s="351"/>
    </row>
    <row r="2" spans="2:16" ht="18.75" customHeight="1" x14ac:dyDescent="0.45">
      <c r="B2" s="350" t="s">
        <v>27</v>
      </c>
      <c r="C2" s="350"/>
      <c r="D2" s="350"/>
      <c r="E2" s="350" t="str">
        <f>'Calculation + Rounding '!M23</f>
        <v>R5+Adj</v>
      </c>
      <c r="F2" s="350"/>
    </row>
    <row r="4" spans="2:16" x14ac:dyDescent="0.45">
      <c r="C4" s="62"/>
      <c r="D4" s="63"/>
      <c r="E4" s="63"/>
      <c r="F4" s="64"/>
      <c r="H4" s="62"/>
      <c r="I4" s="121" t="s">
        <v>15</v>
      </c>
      <c r="J4" s="63"/>
      <c r="K4" s="63"/>
      <c r="L4" s="63"/>
      <c r="M4" s="63"/>
      <c r="N4" s="63"/>
      <c r="O4" s="63"/>
      <c r="P4" s="64"/>
    </row>
    <row r="5" spans="2:16" x14ac:dyDescent="0.45">
      <c r="C5" s="31"/>
      <c r="D5" s="72"/>
      <c r="E5" s="73" t="s">
        <v>24</v>
      </c>
      <c r="F5" s="65"/>
      <c r="H5" s="31"/>
      <c r="I5" s="5"/>
      <c r="J5" s="5"/>
      <c r="K5" s="5"/>
      <c r="L5" s="5"/>
      <c r="M5" s="5"/>
      <c r="N5" s="5"/>
      <c r="O5" s="5"/>
      <c r="P5" s="65"/>
    </row>
    <row r="6" spans="2:16" x14ac:dyDescent="0.45">
      <c r="C6" s="31"/>
      <c r="D6" s="66" t="s">
        <v>7</v>
      </c>
      <c r="E6" s="122"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0.58071</v>
      </c>
      <c r="F6" s="65"/>
      <c r="H6" s="31"/>
      <c r="I6" s="6" t="s">
        <v>28</v>
      </c>
      <c r="J6" s="5" t="s">
        <v>32</v>
      </c>
      <c r="K6" s="5"/>
      <c r="L6" s="5"/>
      <c r="M6" s="5"/>
      <c r="N6" s="5"/>
      <c r="O6" s="5"/>
      <c r="P6" s="65"/>
    </row>
    <row r="7" spans="2:16" x14ac:dyDescent="0.45">
      <c r="C7" s="31"/>
      <c r="D7" s="66" t="s">
        <v>1</v>
      </c>
      <c r="E7" s="122"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0.37251</v>
      </c>
      <c r="F7" s="65"/>
      <c r="H7" s="31"/>
      <c r="I7" s="6" t="s">
        <v>29</v>
      </c>
      <c r="J7" s="5" t="s">
        <v>33</v>
      </c>
      <c r="K7" s="5"/>
      <c r="L7" s="5"/>
      <c r="M7" s="5"/>
      <c r="N7" s="5"/>
      <c r="O7" s="5"/>
      <c r="P7" s="65"/>
    </row>
    <row r="8" spans="2:16" x14ac:dyDescent="0.45">
      <c r="C8" s="31"/>
      <c r="D8" s="66" t="s">
        <v>2</v>
      </c>
      <c r="E8" s="122"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0.080442</v>
      </c>
      <c r="F8" s="65"/>
      <c r="H8" s="31"/>
      <c r="I8" s="6" t="s">
        <v>30</v>
      </c>
      <c r="J8" s="5" t="s">
        <v>34</v>
      </c>
      <c r="K8" s="5"/>
      <c r="L8" s="5"/>
      <c r="M8" s="5"/>
      <c r="N8" s="5"/>
      <c r="O8" s="5"/>
      <c r="P8" s="65"/>
    </row>
    <row r="9" spans="2:16" x14ac:dyDescent="0.45">
      <c r="C9" s="31"/>
      <c r="D9" s="66" t="s">
        <v>6</v>
      </c>
      <c r="E9" s="122"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13.380</v>
      </c>
      <c r="F9" s="65"/>
      <c r="H9" s="31"/>
      <c r="I9" s="6" t="s">
        <v>31</v>
      </c>
      <c r="J9" s="5" t="s">
        <v>35</v>
      </c>
      <c r="K9" s="5"/>
      <c r="L9" s="5"/>
      <c r="M9" s="5"/>
      <c r="N9" s="5"/>
      <c r="O9" s="5"/>
      <c r="P9" s="65"/>
    </row>
    <row r="10" spans="2:16" x14ac:dyDescent="0.45">
      <c r="C10" s="31"/>
      <c r="D10" s="66" t="s">
        <v>3</v>
      </c>
      <c r="E10" s="122"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1.0982</v>
      </c>
      <c r="F10" s="65"/>
      <c r="H10" s="67"/>
      <c r="I10" s="8"/>
      <c r="J10" s="8"/>
      <c r="K10" s="8"/>
      <c r="L10" s="8"/>
      <c r="M10" s="8"/>
      <c r="N10" s="8"/>
      <c r="O10" s="8"/>
      <c r="P10" s="68"/>
    </row>
    <row r="11" spans="2:16" x14ac:dyDescent="0.45">
      <c r="C11" s="67"/>
      <c r="D11" s="8"/>
      <c r="E11" s="8"/>
      <c r="F11" s="68"/>
    </row>
  </sheetData>
  <sheetProtection algorithmName="SHA-512" hashValue="MgNSaOvHkRnUhPqnksvj0kNalrQoUonCw+/7t6nItTbU4Ehq2j0hFzBO5hc/HIXSxTFfbGVgu/41ff6KAo3TlA==" saltValue="22cwSV3mVVkmxKcZgRwaxQ=="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O97"/>
  <sheetViews>
    <sheetView showGridLines="0" topLeftCell="A79" workbookViewId="0">
      <selection activeCell="A97" sqref="A97"/>
    </sheetView>
  </sheetViews>
  <sheetFormatPr defaultColWidth="9.1796875" defaultRowHeight="17" outlineLevelRow="1" x14ac:dyDescent="0.5"/>
  <cols>
    <col min="1" max="1" width="14.26953125" style="154" bestFit="1" customWidth="1"/>
    <col min="2" max="2" width="10.7265625" style="153" bestFit="1" customWidth="1"/>
    <col min="3" max="6" width="9.1796875" style="153"/>
    <col min="7" max="7" width="1.81640625" style="153" customWidth="1"/>
    <col min="8" max="8" width="1.54296875" style="153" customWidth="1"/>
    <col min="9" max="9" width="10.26953125" style="153" customWidth="1"/>
    <col min="10" max="16384" width="9.1796875" style="153"/>
  </cols>
  <sheetData>
    <row r="1" spans="1:15" x14ac:dyDescent="0.5">
      <c r="A1" s="191"/>
      <c r="B1" s="169"/>
      <c r="C1" s="169"/>
      <c r="D1" s="169"/>
      <c r="E1" s="169"/>
      <c r="F1" s="169"/>
      <c r="G1" s="169"/>
      <c r="K1" s="173"/>
      <c r="L1" s="173"/>
      <c r="M1" s="173"/>
      <c r="N1" s="173"/>
    </row>
    <row r="2" spans="1:15" x14ac:dyDescent="0.5">
      <c r="A2" s="352" t="s">
        <v>56</v>
      </c>
      <c r="B2" s="354" t="s">
        <v>55</v>
      </c>
      <c r="C2" s="354"/>
      <c r="D2" s="354"/>
      <c r="E2" s="354"/>
      <c r="F2" s="354"/>
      <c r="G2" s="190"/>
      <c r="K2" s="173"/>
      <c r="L2" s="173"/>
      <c r="M2" s="173"/>
      <c r="N2" s="173"/>
    </row>
    <row r="3" spans="1:15" x14ac:dyDescent="0.5">
      <c r="A3" s="353"/>
      <c r="B3" s="189" t="s">
        <v>9</v>
      </c>
      <c r="C3" s="189" t="s">
        <v>54</v>
      </c>
      <c r="D3" s="189" t="s">
        <v>53</v>
      </c>
      <c r="E3" s="189" t="s">
        <v>52</v>
      </c>
      <c r="F3" s="189" t="s">
        <v>51</v>
      </c>
      <c r="G3" s="188"/>
      <c r="K3" s="173"/>
      <c r="L3" s="173"/>
      <c r="M3" s="173"/>
      <c r="N3" s="173"/>
      <c r="O3" s="173"/>
    </row>
    <row r="4" spans="1:15" outlineLevel="1" x14ac:dyDescent="0.5">
      <c r="A4" s="355" t="s">
        <v>50</v>
      </c>
      <c r="B4" s="187">
        <v>42550</v>
      </c>
      <c r="C4" s="186">
        <v>1.1089</v>
      </c>
      <c r="D4" s="186">
        <v>1.3422000000000001</v>
      </c>
      <c r="E4" s="186">
        <v>102.7</v>
      </c>
      <c r="F4" s="186">
        <v>6.6614000000000004</v>
      </c>
      <c r="G4" s="185"/>
    </row>
    <row r="5" spans="1:15" outlineLevel="1" x14ac:dyDescent="0.5">
      <c r="A5" s="356"/>
      <c r="B5" s="187">
        <v>42551</v>
      </c>
      <c r="C5" s="186">
        <v>1.1145</v>
      </c>
      <c r="D5" s="186">
        <v>1.3488</v>
      </c>
      <c r="E5" s="186">
        <v>102.81</v>
      </c>
      <c r="F5" s="186">
        <v>6.6645000000000003</v>
      </c>
      <c r="G5" s="185"/>
    </row>
    <row r="6" spans="1:15" x14ac:dyDescent="0.5">
      <c r="B6" s="184">
        <v>42552</v>
      </c>
      <c r="C6" s="239">
        <v>1.1125</v>
      </c>
      <c r="D6" s="239">
        <v>1.3288</v>
      </c>
      <c r="E6" s="239">
        <v>102.65</v>
      </c>
      <c r="F6" s="240">
        <v>6.6703999999999999</v>
      </c>
      <c r="G6" s="183"/>
    </row>
    <row r="7" spans="1:15" x14ac:dyDescent="0.5">
      <c r="B7" s="161">
        <v>42553</v>
      </c>
      <c r="C7" s="241"/>
      <c r="D7" s="241"/>
      <c r="E7" s="241"/>
      <c r="F7" s="241"/>
      <c r="G7" s="160"/>
    </row>
    <row r="8" spans="1:15" x14ac:dyDescent="0.5">
      <c r="B8" s="161">
        <v>42554</v>
      </c>
      <c r="C8" s="241"/>
      <c r="D8" s="241"/>
      <c r="E8" s="241"/>
      <c r="F8" s="241"/>
      <c r="G8" s="160"/>
    </row>
    <row r="9" spans="1:15" x14ac:dyDescent="0.5">
      <c r="A9" s="164" t="s">
        <v>47</v>
      </c>
      <c r="B9" s="163">
        <v>42555</v>
      </c>
      <c r="C9" s="242">
        <v>1.1123000000000001</v>
      </c>
      <c r="D9" s="242">
        <v>1.3259000000000001</v>
      </c>
      <c r="E9" s="242">
        <v>102.63</v>
      </c>
      <c r="F9" s="242">
        <v>6.6778000000000004</v>
      </c>
      <c r="G9" s="162"/>
      <c r="K9" s="169"/>
      <c r="L9" s="169"/>
      <c r="M9" s="169"/>
      <c r="N9" s="169"/>
    </row>
    <row r="10" spans="1:15" x14ac:dyDescent="0.5">
      <c r="B10" s="159">
        <v>42556</v>
      </c>
      <c r="C10" s="243">
        <v>1.1153999999999999</v>
      </c>
      <c r="D10" s="244">
        <v>1.3160000000000001</v>
      </c>
      <c r="E10" s="245">
        <v>101.72</v>
      </c>
      <c r="F10" s="245">
        <v>6.6874000000000002</v>
      </c>
      <c r="G10" s="182"/>
      <c r="K10" s="175"/>
      <c r="L10" s="181" t="s">
        <v>15</v>
      </c>
      <c r="M10" s="180"/>
      <c r="N10" s="180"/>
      <c r="O10" s="175"/>
    </row>
    <row r="11" spans="1:15" x14ac:dyDescent="0.5">
      <c r="B11" s="159">
        <v>42557</v>
      </c>
      <c r="C11" s="243">
        <v>1.1067</v>
      </c>
      <c r="D11" s="243">
        <v>1.2981</v>
      </c>
      <c r="E11" s="243">
        <v>100.3</v>
      </c>
      <c r="F11" s="243">
        <v>6.6997999999999998</v>
      </c>
      <c r="G11" s="158"/>
      <c r="K11" s="175"/>
      <c r="L11" s="179"/>
      <c r="M11" s="179"/>
      <c r="N11" s="178"/>
    </row>
    <row r="12" spans="1:15" x14ac:dyDescent="0.5">
      <c r="B12" s="159">
        <v>42558</v>
      </c>
      <c r="C12" s="243">
        <v>1.1083000000000001</v>
      </c>
      <c r="D12" s="243">
        <v>1.3030999999999999</v>
      </c>
      <c r="E12" s="243">
        <v>101.08</v>
      </c>
      <c r="F12" s="243">
        <v>6.6933999999999996</v>
      </c>
      <c r="G12" s="158"/>
      <c r="K12" s="175"/>
      <c r="L12" s="177"/>
      <c r="M12" s="173" t="s">
        <v>47</v>
      </c>
      <c r="N12" s="172"/>
    </row>
    <row r="13" spans="1:15" x14ac:dyDescent="0.5">
      <c r="B13" s="159">
        <v>42559</v>
      </c>
      <c r="C13" s="243">
        <v>1.1065</v>
      </c>
      <c r="D13" s="243">
        <v>1.2983</v>
      </c>
      <c r="E13" s="243">
        <v>100.49</v>
      </c>
      <c r="F13" s="243">
        <v>6.6993</v>
      </c>
      <c r="G13" s="158"/>
      <c r="K13" s="175"/>
      <c r="L13" s="176"/>
      <c r="M13" s="173" t="s">
        <v>48</v>
      </c>
      <c r="N13" s="172"/>
    </row>
    <row r="14" spans="1:15" x14ac:dyDescent="0.5">
      <c r="B14" s="161">
        <v>42560</v>
      </c>
      <c r="C14" s="241"/>
      <c r="D14" s="241"/>
      <c r="E14" s="241"/>
      <c r="F14" s="241"/>
      <c r="G14" s="160"/>
      <c r="K14" s="175"/>
      <c r="L14" s="174"/>
      <c r="M14" s="173" t="s">
        <v>49</v>
      </c>
      <c r="N14" s="172"/>
    </row>
    <row r="15" spans="1:15" x14ac:dyDescent="0.5">
      <c r="B15" s="161">
        <v>42561</v>
      </c>
      <c r="C15" s="241"/>
      <c r="D15" s="241"/>
      <c r="E15" s="241"/>
      <c r="F15" s="241"/>
      <c r="G15" s="160"/>
      <c r="K15" s="171"/>
      <c r="L15" s="170"/>
      <c r="M15" s="169" t="s">
        <v>46</v>
      </c>
      <c r="N15" s="168"/>
    </row>
    <row r="16" spans="1:15" x14ac:dyDescent="0.5">
      <c r="B16" s="159">
        <v>42562</v>
      </c>
      <c r="C16" s="243">
        <v>1.1048</v>
      </c>
      <c r="D16" s="243">
        <v>1.2981</v>
      </c>
      <c r="E16" s="243">
        <v>102.37</v>
      </c>
      <c r="F16" s="243">
        <v>6.7020999999999997</v>
      </c>
      <c r="G16" s="158"/>
    </row>
    <row r="17" spans="2:7" x14ac:dyDescent="0.5">
      <c r="B17" s="159">
        <v>42563</v>
      </c>
      <c r="C17" s="243">
        <v>1.1093</v>
      </c>
      <c r="D17" s="243">
        <v>1.3161</v>
      </c>
      <c r="E17" s="243">
        <v>103.76</v>
      </c>
      <c r="F17" s="243">
        <v>6.6985000000000001</v>
      </c>
      <c r="G17" s="158"/>
    </row>
    <row r="18" spans="2:7" x14ac:dyDescent="0.5">
      <c r="B18" s="159">
        <v>42564</v>
      </c>
      <c r="C18" s="243">
        <v>1.1085</v>
      </c>
      <c r="D18" s="243">
        <v>1.3297000000000001</v>
      </c>
      <c r="E18" s="243">
        <v>104.82</v>
      </c>
      <c r="F18" s="243">
        <v>6.6952999999999996</v>
      </c>
      <c r="G18" s="158"/>
    </row>
    <row r="19" spans="2:7" x14ac:dyDescent="0.5">
      <c r="B19" s="159">
        <v>42565</v>
      </c>
      <c r="C19" s="243">
        <v>1.1104000000000001</v>
      </c>
      <c r="D19" s="244">
        <v>1.3220000000000001</v>
      </c>
      <c r="E19" s="243">
        <v>105.42</v>
      </c>
      <c r="F19" s="243">
        <v>6.6958000000000002</v>
      </c>
      <c r="G19" s="158"/>
    </row>
    <row r="20" spans="2:7" x14ac:dyDescent="0.5">
      <c r="B20" s="159">
        <v>42566</v>
      </c>
      <c r="C20" s="243">
        <v>1.1136999999999999</v>
      </c>
      <c r="D20" s="243">
        <v>1.3371999999999999</v>
      </c>
      <c r="E20" s="243">
        <v>105.77</v>
      </c>
      <c r="F20" s="243">
        <v>6.6933999999999996</v>
      </c>
      <c r="G20" s="158"/>
    </row>
    <row r="21" spans="2:7" x14ac:dyDescent="0.5">
      <c r="B21" s="161">
        <v>42567</v>
      </c>
      <c r="C21" s="241"/>
      <c r="D21" s="241"/>
      <c r="E21" s="241"/>
      <c r="F21" s="241"/>
      <c r="G21" s="160"/>
    </row>
    <row r="22" spans="2:7" x14ac:dyDescent="0.5">
      <c r="B22" s="161">
        <v>42568</v>
      </c>
      <c r="C22" s="241"/>
      <c r="D22" s="241"/>
      <c r="E22" s="241"/>
      <c r="F22" s="241"/>
      <c r="G22" s="160"/>
    </row>
    <row r="23" spans="2:7" x14ac:dyDescent="0.5">
      <c r="B23" s="159">
        <v>42569</v>
      </c>
      <c r="C23" s="243">
        <v>1.1049</v>
      </c>
      <c r="D23" s="243">
        <v>1.3232999999999999</v>
      </c>
      <c r="E23" s="243">
        <v>105.61</v>
      </c>
      <c r="F23" s="243">
        <v>6.7134</v>
      </c>
      <c r="G23" s="158"/>
    </row>
    <row r="24" spans="2:7" x14ac:dyDescent="0.5">
      <c r="B24" s="159">
        <v>42570</v>
      </c>
      <c r="C24" s="243">
        <v>1.1059000000000001</v>
      </c>
      <c r="D24" s="243">
        <v>1.3168</v>
      </c>
      <c r="E24" s="243">
        <v>106.11</v>
      </c>
      <c r="F24" s="243">
        <v>6.7043999999999997</v>
      </c>
      <c r="G24" s="158"/>
    </row>
    <row r="25" spans="2:7" x14ac:dyDescent="0.5">
      <c r="B25" s="159">
        <v>42571</v>
      </c>
      <c r="C25" s="243">
        <v>1.1011</v>
      </c>
      <c r="D25" s="244">
        <v>1.3169999999999999</v>
      </c>
      <c r="E25" s="243">
        <v>106.55</v>
      </c>
      <c r="F25" s="243">
        <v>6.6807999999999996</v>
      </c>
      <c r="G25" s="158"/>
    </row>
    <row r="26" spans="2:7" x14ac:dyDescent="0.5">
      <c r="B26" s="159">
        <v>42572</v>
      </c>
      <c r="C26" s="243">
        <v>1.1015999999999999</v>
      </c>
      <c r="D26" s="243">
        <v>1.3185</v>
      </c>
      <c r="E26" s="243">
        <v>106.32</v>
      </c>
      <c r="F26" s="243">
        <v>6.6794000000000002</v>
      </c>
      <c r="G26" s="158"/>
    </row>
    <row r="27" spans="2:7" x14ac:dyDescent="0.5">
      <c r="B27" s="159">
        <v>42573</v>
      </c>
      <c r="C27" s="243">
        <v>1.1015999999999999</v>
      </c>
      <c r="D27" s="243">
        <v>1.3107</v>
      </c>
      <c r="E27" s="243">
        <v>106.15</v>
      </c>
      <c r="F27" s="243">
        <v>6.6807999999999996</v>
      </c>
      <c r="G27" s="158"/>
    </row>
    <row r="28" spans="2:7" x14ac:dyDescent="0.5">
      <c r="B28" s="161">
        <v>42574</v>
      </c>
      <c r="C28" s="241"/>
      <c r="D28" s="241"/>
      <c r="E28" s="241"/>
      <c r="F28" s="241"/>
      <c r="G28" s="160"/>
    </row>
    <row r="29" spans="2:7" x14ac:dyDescent="0.5">
      <c r="B29" s="161">
        <v>42575</v>
      </c>
      <c r="C29" s="241"/>
      <c r="D29" s="241"/>
      <c r="E29" s="241"/>
      <c r="F29" s="241"/>
      <c r="G29" s="160"/>
    </row>
    <row r="30" spans="2:7" x14ac:dyDescent="0.5">
      <c r="B30" s="159">
        <v>42576</v>
      </c>
      <c r="C30" s="243">
        <v>1.0989</v>
      </c>
      <c r="D30" s="243">
        <v>1.3130999999999999</v>
      </c>
      <c r="E30" s="243">
        <v>106.29</v>
      </c>
      <c r="F30" s="243">
        <v>6.6875999999999998</v>
      </c>
      <c r="G30" s="158"/>
    </row>
    <row r="31" spans="2:7" x14ac:dyDescent="0.5">
      <c r="B31" s="159">
        <v>42577</v>
      </c>
      <c r="C31" s="243">
        <v>1.1002000000000001</v>
      </c>
      <c r="D31" s="244">
        <v>1.3120000000000001</v>
      </c>
      <c r="E31" s="243">
        <v>104.43</v>
      </c>
      <c r="F31" s="243">
        <v>6.6776</v>
      </c>
      <c r="G31" s="158"/>
    </row>
    <row r="32" spans="2:7" x14ac:dyDescent="0.5">
      <c r="B32" s="159">
        <v>42578</v>
      </c>
      <c r="C32" s="243">
        <v>1.0993999999999999</v>
      </c>
      <c r="D32" s="243">
        <v>1.3101</v>
      </c>
      <c r="E32" s="243">
        <v>105.52</v>
      </c>
      <c r="F32" s="243">
        <v>6.6764999999999999</v>
      </c>
      <c r="G32" s="158"/>
    </row>
    <row r="33" spans="2:7" x14ac:dyDescent="0.5">
      <c r="B33" s="159">
        <v>42579</v>
      </c>
      <c r="C33" s="243">
        <v>1.1083000000000001</v>
      </c>
      <c r="D33" s="243">
        <v>1.3149</v>
      </c>
      <c r="E33" s="243">
        <v>104.71</v>
      </c>
      <c r="F33" s="243">
        <v>6.6664000000000003</v>
      </c>
      <c r="G33" s="158"/>
    </row>
    <row r="34" spans="2:7" x14ac:dyDescent="0.5">
      <c r="B34" s="159">
        <v>42580</v>
      </c>
      <c r="C34" s="243">
        <v>1.1112</v>
      </c>
      <c r="D34" s="243">
        <v>1.3177000000000001</v>
      </c>
      <c r="E34" s="243">
        <v>103.35</v>
      </c>
      <c r="F34" s="243">
        <v>6.6585999999999999</v>
      </c>
      <c r="G34" s="158"/>
    </row>
    <row r="35" spans="2:7" x14ac:dyDescent="0.5">
      <c r="B35" s="161">
        <v>42581</v>
      </c>
      <c r="C35" s="241"/>
      <c r="D35" s="241"/>
      <c r="E35" s="241"/>
      <c r="F35" s="241"/>
      <c r="G35" s="160"/>
    </row>
    <row r="36" spans="2:7" x14ac:dyDescent="0.5">
      <c r="B36" s="161">
        <v>42582</v>
      </c>
      <c r="C36" s="241"/>
      <c r="D36" s="241"/>
      <c r="E36" s="241"/>
      <c r="F36" s="241"/>
      <c r="G36" s="160"/>
    </row>
    <row r="37" spans="2:7" x14ac:dyDescent="0.5">
      <c r="B37" s="159">
        <v>42583</v>
      </c>
      <c r="C37" s="243">
        <v>1.1164000000000001</v>
      </c>
      <c r="D37" s="243">
        <v>1.3181</v>
      </c>
      <c r="E37" s="243">
        <v>102.21</v>
      </c>
      <c r="F37" s="243">
        <v>6.6471999999999998</v>
      </c>
      <c r="G37" s="158"/>
    </row>
    <row r="38" spans="2:7" x14ac:dyDescent="0.5">
      <c r="B38" s="159">
        <v>42584</v>
      </c>
      <c r="C38" s="243">
        <v>1.1192</v>
      </c>
      <c r="D38" s="243">
        <v>1.3236000000000001</v>
      </c>
      <c r="E38" s="243">
        <v>101.77</v>
      </c>
      <c r="F38" s="243">
        <v>6.6403999999999996</v>
      </c>
      <c r="G38" s="158"/>
    </row>
    <row r="39" spans="2:7" x14ac:dyDescent="0.5">
      <c r="B39" s="159">
        <v>42585</v>
      </c>
      <c r="C39" s="243">
        <v>1.1198999999999999</v>
      </c>
      <c r="D39" s="243">
        <v>1.3346</v>
      </c>
      <c r="E39" s="246">
        <v>101.2</v>
      </c>
      <c r="F39" s="243">
        <v>6.6345000000000001</v>
      </c>
      <c r="G39" s="158"/>
    </row>
    <row r="40" spans="2:7" x14ac:dyDescent="0.5">
      <c r="B40" s="159">
        <v>42586</v>
      </c>
      <c r="C40" s="243">
        <v>1.1132</v>
      </c>
      <c r="D40" s="243">
        <v>1.3285</v>
      </c>
      <c r="E40" s="243">
        <v>101.33</v>
      </c>
      <c r="F40" s="243">
        <v>6.6456999999999997</v>
      </c>
      <c r="G40" s="158"/>
    </row>
    <row r="41" spans="2:7" x14ac:dyDescent="0.5">
      <c r="B41" s="159">
        <v>42587</v>
      </c>
      <c r="C41" s="243">
        <v>1.1146</v>
      </c>
      <c r="D41" s="243">
        <v>1.3159000000000001</v>
      </c>
      <c r="E41" s="243">
        <v>101.07</v>
      </c>
      <c r="F41" s="243">
        <v>6.6513999999999998</v>
      </c>
      <c r="G41" s="158"/>
    </row>
    <row r="42" spans="2:7" x14ac:dyDescent="0.5">
      <c r="B42" s="161">
        <v>42588</v>
      </c>
      <c r="C42" s="241"/>
      <c r="D42" s="241"/>
      <c r="E42" s="241"/>
      <c r="F42" s="241"/>
      <c r="G42" s="160"/>
    </row>
    <row r="43" spans="2:7" x14ac:dyDescent="0.5">
      <c r="B43" s="161">
        <v>42589</v>
      </c>
      <c r="C43" s="241"/>
      <c r="D43" s="241"/>
      <c r="E43" s="241"/>
      <c r="F43" s="241"/>
      <c r="G43" s="160"/>
    </row>
    <row r="44" spans="2:7" x14ac:dyDescent="0.5">
      <c r="B44" s="159">
        <v>42590</v>
      </c>
      <c r="C44" s="243">
        <v>1.1082000000000001</v>
      </c>
      <c r="D44" s="243">
        <v>1.3066</v>
      </c>
      <c r="E44" s="243">
        <v>102.33</v>
      </c>
      <c r="F44" s="244">
        <v>6.67</v>
      </c>
      <c r="G44" s="158"/>
    </row>
    <row r="45" spans="2:7" x14ac:dyDescent="0.5">
      <c r="B45" s="159">
        <v>42591</v>
      </c>
      <c r="C45" s="243">
        <v>1.1085</v>
      </c>
      <c r="D45" s="243">
        <v>1.2984</v>
      </c>
      <c r="E45" s="243">
        <v>102.21</v>
      </c>
      <c r="F45" s="243">
        <v>6.6699000000000002</v>
      </c>
      <c r="G45" s="158"/>
    </row>
    <row r="46" spans="2:7" x14ac:dyDescent="0.5">
      <c r="B46" s="159">
        <v>42592</v>
      </c>
      <c r="C46" s="243">
        <v>1.1173</v>
      </c>
      <c r="D46" s="243">
        <v>1.3068</v>
      </c>
      <c r="E46" s="243">
        <v>101.28</v>
      </c>
      <c r="F46" s="243">
        <v>6.6365999999999996</v>
      </c>
      <c r="G46" s="158"/>
    </row>
    <row r="47" spans="2:7" x14ac:dyDescent="0.5">
      <c r="B47" s="159">
        <v>42593</v>
      </c>
      <c r="C47" s="243">
        <v>1.1149</v>
      </c>
      <c r="D47" s="244">
        <v>1.298</v>
      </c>
      <c r="E47" s="243">
        <v>101.37</v>
      </c>
      <c r="F47" s="243">
        <v>6.6471999999999998</v>
      </c>
      <c r="G47" s="158"/>
    </row>
    <row r="48" spans="2:7" x14ac:dyDescent="0.5">
      <c r="B48" s="159">
        <v>42594</v>
      </c>
      <c r="C48" s="243">
        <v>1.1153999999999999</v>
      </c>
      <c r="D48" s="243">
        <v>1.2963</v>
      </c>
      <c r="E48" s="243">
        <v>102.09</v>
      </c>
      <c r="F48" s="243">
        <v>6.6536999999999997</v>
      </c>
      <c r="G48" s="158"/>
    </row>
    <row r="49" spans="2:7" x14ac:dyDescent="0.5">
      <c r="B49" s="161">
        <v>42595</v>
      </c>
      <c r="C49" s="241"/>
      <c r="D49" s="241"/>
      <c r="E49" s="241"/>
      <c r="F49" s="241"/>
      <c r="G49" s="160"/>
    </row>
    <row r="50" spans="2:7" x14ac:dyDescent="0.5">
      <c r="B50" s="161">
        <v>42596</v>
      </c>
      <c r="C50" s="241"/>
      <c r="D50" s="241"/>
      <c r="E50" s="241"/>
      <c r="F50" s="241"/>
      <c r="G50" s="160"/>
    </row>
    <row r="51" spans="2:7" x14ac:dyDescent="0.5">
      <c r="B51" s="159">
        <v>42597</v>
      </c>
      <c r="C51" s="244">
        <v>1.117</v>
      </c>
      <c r="D51" s="244">
        <v>1.2919</v>
      </c>
      <c r="E51" s="246">
        <v>101.1</v>
      </c>
      <c r="F51" s="244">
        <v>6.6485000000000003</v>
      </c>
      <c r="G51" s="158"/>
    </row>
    <row r="52" spans="2:7" x14ac:dyDescent="0.5">
      <c r="B52" s="159">
        <v>42598</v>
      </c>
      <c r="C52" s="244">
        <v>1.1276999999999999</v>
      </c>
      <c r="D52" s="244">
        <v>1.298</v>
      </c>
      <c r="E52" s="246">
        <v>99.99</v>
      </c>
      <c r="F52" s="244">
        <v>6.6257999999999999</v>
      </c>
      <c r="G52" s="158"/>
    </row>
    <row r="53" spans="2:7" x14ac:dyDescent="0.5">
      <c r="B53" s="159">
        <v>42599</v>
      </c>
      <c r="C53" s="244">
        <v>1.1269</v>
      </c>
      <c r="D53" s="244">
        <v>1.3008</v>
      </c>
      <c r="E53" s="246">
        <v>100.72</v>
      </c>
      <c r="F53" s="244">
        <v>6.6413000000000002</v>
      </c>
      <c r="G53" s="158"/>
    </row>
    <row r="54" spans="2:7" x14ac:dyDescent="0.5">
      <c r="B54" s="159">
        <v>42600</v>
      </c>
      <c r="C54" s="244">
        <v>1.1323000000000001</v>
      </c>
      <c r="D54" s="244">
        <v>1.3153999999999999</v>
      </c>
      <c r="E54" s="246">
        <v>100.35</v>
      </c>
      <c r="F54" s="244">
        <v>6.6382000000000003</v>
      </c>
      <c r="G54" s="158"/>
    </row>
    <row r="55" spans="2:7" x14ac:dyDescent="0.5">
      <c r="B55" s="159">
        <v>42601</v>
      </c>
      <c r="C55" s="244">
        <v>1.1324000000000001</v>
      </c>
      <c r="D55" s="244">
        <v>1.3120000000000001</v>
      </c>
      <c r="E55" s="246">
        <v>100.18</v>
      </c>
      <c r="F55" s="244">
        <v>6.6615000000000002</v>
      </c>
      <c r="G55" s="158"/>
    </row>
    <row r="56" spans="2:7" x14ac:dyDescent="0.5">
      <c r="B56" s="161">
        <v>42602</v>
      </c>
      <c r="C56" s="247"/>
      <c r="D56" s="247"/>
      <c r="E56" s="250"/>
      <c r="F56" s="247"/>
      <c r="G56" s="160"/>
    </row>
    <row r="57" spans="2:7" x14ac:dyDescent="0.5">
      <c r="B57" s="161">
        <v>42603</v>
      </c>
      <c r="C57" s="247"/>
      <c r="D57" s="247"/>
      <c r="E57" s="250"/>
      <c r="F57" s="247"/>
      <c r="G57" s="160"/>
    </row>
    <row r="58" spans="2:7" x14ac:dyDescent="0.5">
      <c r="B58" s="159">
        <v>42604</v>
      </c>
      <c r="C58" s="244">
        <v>1.1295999999999999</v>
      </c>
      <c r="D58" s="244">
        <v>1.3086</v>
      </c>
      <c r="E58" s="246">
        <v>100.54</v>
      </c>
      <c r="F58" s="244">
        <v>6.6654</v>
      </c>
      <c r="G58" s="158"/>
    </row>
    <row r="59" spans="2:7" x14ac:dyDescent="0.5">
      <c r="B59" s="159">
        <v>42605</v>
      </c>
      <c r="C59" s="244">
        <v>1.1333</v>
      </c>
      <c r="D59" s="244">
        <v>1.3181</v>
      </c>
      <c r="E59" s="246">
        <v>100.19</v>
      </c>
      <c r="F59" s="244">
        <v>6.657</v>
      </c>
      <c r="G59" s="158"/>
    </row>
    <row r="60" spans="2:7" x14ac:dyDescent="0.5">
      <c r="B60" s="159">
        <v>42606</v>
      </c>
      <c r="C60" s="244">
        <v>1.1279999999999999</v>
      </c>
      <c r="D60" s="244">
        <v>1.3242</v>
      </c>
      <c r="E60" s="246">
        <v>100.23</v>
      </c>
      <c r="F60" s="244">
        <v>6.6687000000000003</v>
      </c>
      <c r="G60" s="158"/>
    </row>
    <row r="61" spans="2:7" x14ac:dyDescent="0.5">
      <c r="B61" s="159">
        <v>42607</v>
      </c>
      <c r="C61" s="244">
        <v>1.1291</v>
      </c>
      <c r="D61" s="244">
        <v>1.3197000000000001</v>
      </c>
      <c r="E61" s="246">
        <v>100.41</v>
      </c>
      <c r="F61" s="244">
        <v>6.6677999999999997</v>
      </c>
      <c r="G61" s="158"/>
    </row>
    <row r="62" spans="2:7" x14ac:dyDescent="0.5">
      <c r="B62" s="159">
        <v>42608</v>
      </c>
      <c r="C62" s="244">
        <v>1.129</v>
      </c>
      <c r="D62" s="244">
        <v>1.3201000000000001</v>
      </c>
      <c r="E62" s="246">
        <v>100.47</v>
      </c>
      <c r="F62" s="244">
        <v>6.6826999999999996</v>
      </c>
      <c r="G62" s="158"/>
    </row>
    <row r="63" spans="2:7" x14ac:dyDescent="0.5">
      <c r="B63" s="161">
        <v>42609</v>
      </c>
      <c r="C63" s="247"/>
      <c r="D63" s="247"/>
      <c r="E63" s="250"/>
      <c r="F63" s="247"/>
      <c r="G63" s="160"/>
    </row>
    <row r="64" spans="2:7" x14ac:dyDescent="0.5">
      <c r="B64" s="161">
        <v>42610</v>
      </c>
      <c r="C64" s="247"/>
      <c r="D64" s="247"/>
      <c r="E64" s="250"/>
      <c r="F64" s="247"/>
      <c r="G64" s="160"/>
    </row>
    <row r="65" spans="1:7" x14ac:dyDescent="0.5">
      <c r="A65" s="167" t="s">
        <v>48</v>
      </c>
      <c r="B65" s="166">
        <v>42611</v>
      </c>
      <c r="C65" s="248">
        <v>1.1182000000000001</v>
      </c>
      <c r="D65" s="248">
        <v>1.3085</v>
      </c>
      <c r="E65" s="251">
        <v>102.14</v>
      </c>
      <c r="F65" s="248">
        <v>6.6909999999999998</v>
      </c>
      <c r="G65" s="165"/>
    </row>
    <row r="66" spans="1:7" x14ac:dyDescent="0.5">
      <c r="B66" s="159">
        <v>42612</v>
      </c>
      <c r="C66" s="244">
        <v>1.1167</v>
      </c>
      <c r="D66" s="244">
        <v>1.3084</v>
      </c>
      <c r="E66" s="246">
        <v>102.33</v>
      </c>
      <c r="F66" s="244">
        <v>6.6898999999999997</v>
      </c>
      <c r="G66" s="158"/>
    </row>
    <row r="67" spans="1:7" x14ac:dyDescent="0.5">
      <c r="B67" s="159">
        <v>42613</v>
      </c>
      <c r="C67" s="244">
        <v>1.1142000000000001</v>
      </c>
      <c r="D67" s="244">
        <v>1.3138000000000001</v>
      </c>
      <c r="E67" s="246">
        <v>103.24</v>
      </c>
      <c r="F67" s="244">
        <v>6.6913</v>
      </c>
      <c r="G67" s="158"/>
    </row>
    <row r="68" spans="1:7" x14ac:dyDescent="0.5">
      <c r="B68" s="159">
        <v>42614</v>
      </c>
      <c r="C68" s="244">
        <v>1.1151</v>
      </c>
      <c r="D68" s="244">
        <v>1.3246</v>
      </c>
      <c r="E68" s="246">
        <v>103.68</v>
      </c>
      <c r="F68" s="244">
        <v>6.6923000000000004</v>
      </c>
      <c r="G68" s="158"/>
    </row>
    <row r="69" spans="1:7" x14ac:dyDescent="0.5">
      <c r="B69" s="159">
        <v>42615</v>
      </c>
      <c r="C69" s="244">
        <v>1.1185</v>
      </c>
      <c r="D69" s="244">
        <v>1.3257000000000001</v>
      </c>
      <c r="E69" s="246">
        <v>103.59</v>
      </c>
      <c r="F69" s="244">
        <v>6.6948999999999996</v>
      </c>
      <c r="G69" s="158"/>
    </row>
    <row r="70" spans="1:7" x14ac:dyDescent="0.5">
      <c r="B70" s="161">
        <v>42616</v>
      </c>
      <c r="C70" s="247"/>
      <c r="D70" s="247"/>
      <c r="E70" s="250"/>
      <c r="F70" s="247"/>
      <c r="G70" s="160"/>
    </row>
    <row r="71" spans="1:7" x14ac:dyDescent="0.5">
      <c r="B71" s="161">
        <v>42617</v>
      </c>
      <c r="C71" s="247"/>
      <c r="D71" s="247"/>
      <c r="E71" s="250"/>
      <c r="F71" s="247"/>
      <c r="G71" s="160"/>
    </row>
    <row r="72" spans="1:7" x14ac:dyDescent="0.5">
      <c r="A72" s="164" t="s">
        <v>47</v>
      </c>
      <c r="B72" s="163">
        <v>42618</v>
      </c>
      <c r="C72" s="249">
        <v>1.1164000000000001</v>
      </c>
      <c r="D72" s="249">
        <v>1.333</v>
      </c>
      <c r="E72" s="252">
        <v>103.31</v>
      </c>
      <c r="F72" s="249">
        <v>6.6910999999999996</v>
      </c>
      <c r="G72" s="162"/>
    </row>
    <row r="73" spans="1:7" x14ac:dyDescent="0.5">
      <c r="B73" s="159">
        <v>42619</v>
      </c>
      <c r="C73" s="244">
        <v>1.1167</v>
      </c>
      <c r="D73" s="244">
        <v>1.3331</v>
      </c>
      <c r="E73" s="246">
        <v>103.31</v>
      </c>
      <c r="F73" s="244">
        <v>6.6905999999999999</v>
      </c>
      <c r="G73" s="158"/>
    </row>
    <row r="74" spans="1:7" x14ac:dyDescent="0.5">
      <c r="B74" s="159">
        <v>42620</v>
      </c>
      <c r="C74" s="244">
        <v>1.1248</v>
      </c>
      <c r="D74" s="244">
        <v>1.3381000000000001</v>
      </c>
      <c r="E74" s="246">
        <v>101.61</v>
      </c>
      <c r="F74" s="244">
        <v>6.6696</v>
      </c>
      <c r="G74" s="158"/>
    </row>
    <row r="75" spans="1:7" x14ac:dyDescent="0.5">
      <c r="B75" s="159">
        <v>42621</v>
      </c>
      <c r="C75" s="244">
        <v>1.1291</v>
      </c>
      <c r="D75" s="244">
        <v>1.3371999999999999</v>
      </c>
      <c r="E75" s="246">
        <v>101.63</v>
      </c>
      <c r="F75" s="244">
        <v>6.6711999999999998</v>
      </c>
      <c r="G75" s="158"/>
    </row>
    <row r="76" spans="1:7" x14ac:dyDescent="0.5">
      <c r="B76" s="159">
        <v>42622</v>
      </c>
      <c r="C76" s="244">
        <v>1.1263000000000001</v>
      </c>
      <c r="D76" s="244">
        <v>1.3314999999999999</v>
      </c>
      <c r="E76" s="246">
        <v>102.68</v>
      </c>
      <c r="F76" s="244">
        <v>6.6935000000000002</v>
      </c>
      <c r="G76" s="158"/>
    </row>
    <row r="77" spans="1:7" x14ac:dyDescent="0.5">
      <c r="B77" s="161">
        <v>42623</v>
      </c>
      <c r="C77" s="247"/>
      <c r="D77" s="247"/>
      <c r="E77" s="250"/>
      <c r="F77" s="247"/>
      <c r="G77" s="160"/>
    </row>
    <row r="78" spans="1:7" x14ac:dyDescent="0.5">
      <c r="B78" s="161">
        <v>42624</v>
      </c>
      <c r="C78" s="247"/>
      <c r="D78" s="247"/>
      <c r="E78" s="250"/>
      <c r="F78" s="247"/>
      <c r="G78" s="160"/>
    </row>
    <row r="79" spans="1:7" x14ac:dyDescent="0.5">
      <c r="B79" s="159">
        <v>42625</v>
      </c>
      <c r="C79" s="244">
        <v>1.1221000000000001</v>
      </c>
      <c r="D79" s="244">
        <v>1.3265</v>
      </c>
      <c r="E79" s="246">
        <v>102.03</v>
      </c>
      <c r="F79" s="244">
        <v>6.6927000000000003</v>
      </c>
      <c r="G79" s="158"/>
    </row>
    <row r="80" spans="1:7" x14ac:dyDescent="0.5">
      <c r="B80" s="159">
        <v>42626</v>
      </c>
      <c r="C80" s="244">
        <v>1.1232</v>
      </c>
      <c r="D80" s="244">
        <v>1.327</v>
      </c>
      <c r="E80" s="246">
        <v>102.2</v>
      </c>
      <c r="F80" s="244">
        <v>6.6849999999999996</v>
      </c>
      <c r="G80" s="158"/>
    </row>
    <row r="81" spans="2:7" x14ac:dyDescent="0.5">
      <c r="B81" s="159">
        <v>42627</v>
      </c>
      <c r="C81" s="244">
        <v>1.1226</v>
      </c>
      <c r="D81" s="244">
        <v>1.3199000000000001</v>
      </c>
      <c r="E81" s="246">
        <v>102.69</v>
      </c>
      <c r="F81" s="244">
        <v>6.6761999999999997</v>
      </c>
      <c r="G81" s="158"/>
    </row>
    <row r="82" spans="2:7" x14ac:dyDescent="0.5">
      <c r="B82" s="159">
        <v>42628</v>
      </c>
      <c r="C82" s="244">
        <v>1.1238999999999999</v>
      </c>
      <c r="D82" s="244">
        <v>1.3224</v>
      </c>
      <c r="E82" s="246">
        <v>102.44</v>
      </c>
      <c r="F82" s="244">
        <v>6.6593999999999998</v>
      </c>
      <c r="G82" s="158"/>
    </row>
    <row r="83" spans="2:7" x14ac:dyDescent="0.5">
      <c r="B83" s="159">
        <v>42629</v>
      </c>
      <c r="C83" s="244">
        <v>1.1225000000000001</v>
      </c>
      <c r="D83" s="244">
        <v>1.3170999999999999</v>
      </c>
      <c r="E83" s="246">
        <v>101.8</v>
      </c>
      <c r="F83" s="244">
        <v>6.6436000000000002</v>
      </c>
      <c r="G83" s="158"/>
    </row>
    <row r="84" spans="2:7" x14ac:dyDescent="0.5">
      <c r="B84" s="161">
        <v>42630</v>
      </c>
      <c r="C84" s="247"/>
      <c r="D84" s="247"/>
      <c r="E84" s="250"/>
      <c r="F84" s="247"/>
      <c r="G84" s="160"/>
    </row>
    <row r="85" spans="2:7" x14ac:dyDescent="0.5">
      <c r="B85" s="161">
        <v>42631</v>
      </c>
      <c r="C85" s="247"/>
      <c r="D85" s="247"/>
      <c r="E85" s="250"/>
      <c r="F85" s="247"/>
      <c r="G85" s="160"/>
    </row>
    <row r="86" spans="2:7" x14ac:dyDescent="0.5">
      <c r="B86" s="159">
        <v>42632</v>
      </c>
      <c r="C86" s="244">
        <v>1.1161000000000001</v>
      </c>
      <c r="D86" s="244">
        <v>1.3049999999999999</v>
      </c>
      <c r="E86" s="246">
        <v>101.83</v>
      </c>
      <c r="F86" s="244">
        <v>6.6703999999999999</v>
      </c>
      <c r="G86" s="158"/>
    </row>
    <row r="87" spans="2:7" x14ac:dyDescent="0.5">
      <c r="B87" s="159">
        <v>42633</v>
      </c>
      <c r="C87" s="244">
        <v>1.1180000000000001</v>
      </c>
      <c r="D87" s="244">
        <v>1.2968999999999999</v>
      </c>
      <c r="E87" s="246">
        <v>101.91</v>
      </c>
      <c r="F87" s="244">
        <v>6.6814999999999998</v>
      </c>
      <c r="G87" s="158"/>
    </row>
    <row r="88" spans="2:7" x14ac:dyDescent="0.5">
      <c r="B88" s="159">
        <v>42634</v>
      </c>
      <c r="C88" s="244">
        <v>1.1146</v>
      </c>
      <c r="D88" s="244">
        <v>1.2998000000000001</v>
      </c>
      <c r="E88" s="246">
        <v>101.45</v>
      </c>
      <c r="F88" s="244">
        <v>6.6830999999999996</v>
      </c>
      <c r="G88" s="158"/>
    </row>
    <row r="89" spans="2:7" x14ac:dyDescent="0.5">
      <c r="B89" s="159">
        <v>42635</v>
      </c>
      <c r="C89" s="244">
        <v>1.1235999999999999</v>
      </c>
      <c r="D89" s="244">
        <v>1.3052999999999999</v>
      </c>
      <c r="E89" s="246">
        <v>100.74</v>
      </c>
      <c r="F89" s="244">
        <v>6.6778000000000004</v>
      </c>
      <c r="G89" s="158"/>
    </row>
    <row r="90" spans="2:7" x14ac:dyDescent="0.5">
      <c r="B90" s="159">
        <v>42636</v>
      </c>
      <c r="C90" s="244">
        <v>1.1223000000000001</v>
      </c>
      <c r="D90" s="244">
        <v>1.2974000000000001</v>
      </c>
      <c r="E90" s="246">
        <v>100.69</v>
      </c>
      <c r="F90" s="244">
        <v>6.6764000000000001</v>
      </c>
      <c r="G90" s="158"/>
    </row>
    <row r="91" spans="2:7" x14ac:dyDescent="0.5">
      <c r="B91" s="161">
        <v>42637</v>
      </c>
      <c r="C91" s="247"/>
      <c r="D91" s="247"/>
      <c r="E91" s="250"/>
      <c r="F91" s="247"/>
      <c r="G91" s="160"/>
    </row>
    <row r="92" spans="2:7" x14ac:dyDescent="0.5">
      <c r="B92" s="161">
        <v>42638</v>
      </c>
      <c r="C92" s="247"/>
      <c r="D92" s="247"/>
      <c r="E92" s="250"/>
      <c r="F92" s="247"/>
      <c r="G92" s="160"/>
    </row>
    <row r="93" spans="2:7" x14ac:dyDescent="0.5">
      <c r="B93" s="159">
        <v>42639</v>
      </c>
      <c r="C93" s="255">
        <v>1.1244000000000001</v>
      </c>
      <c r="D93" s="255">
        <v>1.2926</v>
      </c>
      <c r="E93" s="256">
        <v>100.4</v>
      </c>
      <c r="F93" s="255">
        <v>6.6805000000000003</v>
      </c>
      <c r="G93" s="158"/>
    </row>
    <row r="94" spans="2:7" x14ac:dyDescent="0.5">
      <c r="B94" s="159">
        <v>42640</v>
      </c>
      <c r="C94" s="255">
        <v>1.125</v>
      </c>
      <c r="D94" s="255">
        <v>1.2956000000000001</v>
      </c>
      <c r="E94" s="256">
        <v>100.39</v>
      </c>
      <c r="F94" s="255">
        <v>6.6818999999999997</v>
      </c>
      <c r="G94" s="158"/>
    </row>
    <row r="95" spans="2:7" x14ac:dyDescent="0.5">
      <c r="B95" s="159">
        <v>42641</v>
      </c>
      <c r="C95" s="255">
        <v>1.1216999999999999</v>
      </c>
      <c r="D95" s="255">
        <v>1.3018000000000001</v>
      </c>
      <c r="E95" s="256">
        <v>100.73</v>
      </c>
      <c r="F95" s="255">
        <v>6.6863999999999999</v>
      </c>
      <c r="G95" s="158"/>
    </row>
    <row r="96" spans="2:7" x14ac:dyDescent="0.5">
      <c r="B96" s="159">
        <v>42642</v>
      </c>
      <c r="C96" s="255">
        <v>1.1218999999999999</v>
      </c>
      <c r="D96" s="255">
        <v>1.3015000000000001</v>
      </c>
      <c r="E96" s="256">
        <v>101.45</v>
      </c>
      <c r="F96" s="255">
        <v>6.6734999999999998</v>
      </c>
      <c r="G96" s="158"/>
    </row>
    <row r="97" spans="1:7" x14ac:dyDescent="0.5">
      <c r="A97" s="157" t="s">
        <v>46</v>
      </c>
      <c r="B97" s="156">
        <v>42643</v>
      </c>
      <c r="C97" s="257">
        <v>1.1166</v>
      </c>
      <c r="D97" s="257">
        <v>1.2961</v>
      </c>
      <c r="E97" s="258">
        <v>101.15</v>
      </c>
      <c r="F97" s="257">
        <v>6.6738999999999997</v>
      </c>
      <c r="G97" s="155"/>
    </row>
  </sheetData>
  <sheetProtection selectLockedCells="1"/>
  <mergeCells count="3">
    <mergeCell ref="A2:A3"/>
    <mergeCell ref="B2:F2"/>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(Transition)_old</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Cobanera, Marco</cp:lastModifiedBy>
  <dcterms:created xsi:type="dcterms:W3CDTF">2016-07-06T15:04:31Z</dcterms:created>
  <dcterms:modified xsi:type="dcterms:W3CDTF">2022-07-15T13:41:47Z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ies>
</file>