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60" yWindow="65506" windowWidth="18945" windowHeight="11025" tabRatio="911" activeTab="0"/>
  </bookViews>
  <sheets>
    <sheet name="Instructions" sheetId="1" r:id="rId1"/>
    <sheet name="Input_external" sheetId="2" r:id="rId2"/>
    <sheet name="Table_SR" sheetId="3" r:id="rId3"/>
    <sheet name="PanelChart" sheetId="4" r:id="rId4"/>
    <sheet name="Table" sheetId="5" r:id="rId5"/>
    <sheet name="Chartdata" sheetId="6" r:id="rId6"/>
    <sheet name="Table_GEF" sheetId="7" r:id="rId7"/>
    <sheet name="A1_historical" sheetId="8" r:id="rId8"/>
    <sheet name="B1_irate" sheetId="9" r:id="rId9"/>
    <sheet name="B2_GDP" sheetId="10" r:id="rId10"/>
    <sheet name="B3_CAB" sheetId="11" r:id="rId11"/>
    <sheet name="B4_Combined" sheetId="12" r:id="rId12"/>
    <sheet name="B5_Depreciation" sheetId="13" r:id="rId13"/>
  </sheets>
  <definedNames>
    <definedName name="date">#REF!</definedName>
    <definedName name="List2">'Instructions'!$B$64:$B$207</definedName>
    <definedName name="None">'Instructions'!$N$4:$CP$4</definedName>
    <definedName name="_xlnm.Print_Area" localSheetId="0">'Instructions'!$A$1:$M$33</definedName>
    <definedName name="_xlnm.Print_Area" localSheetId="3">'PanelChart'!$A$2:$CT$241</definedName>
    <definedName name="_xlnm.Print_Area" localSheetId="4">'Table'!$A$2:$AA$71</definedName>
    <definedName name="_xlnm.Print_Area" localSheetId="2">'Table_SR'!$A$1:$AA$67</definedName>
    <definedName name="Table_debt" localSheetId="2">'Table_SR'!$A$1:$AB$66</definedName>
    <definedName name="Table_debt">'Table'!$A$3:$AB$70</definedName>
    <definedName name="Tbl_GFN">'Table_GEF'!$B$2:$T$51</definedName>
  </definedNames>
  <calcPr fullCalcOnLoad="1"/>
</workbook>
</file>

<file path=xl/comments2.xml><?xml version="1.0" encoding="utf-8"?>
<comments xmlns="http://schemas.openxmlformats.org/spreadsheetml/2006/main">
  <authors>
    <author>smockler</author>
  </authors>
  <commentList>
    <comment ref="E16" authorId="0">
      <text>
        <r>
          <rPr>
            <sz val="9"/>
            <rFont val="Tahoma"/>
            <family val="2"/>
          </rPr>
          <t>This line should include only medium- and long-term amortization.  Short-term amortization is included in the Short-term debt outstanding at year-end.</t>
        </r>
      </text>
    </comment>
  </commentList>
</comments>
</file>

<file path=xl/sharedStrings.xml><?xml version="1.0" encoding="utf-8"?>
<sst xmlns="http://schemas.openxmlformats.org/spreadsheetml/2006/main" count="784" uniqueCount="347">
  <si>
    <t>Current account balance</t>
  </si>
  <si>
    <t>External debt</t>
  </si>
  <si>
    <t>Units</t>
  </si>
  <si>
    <t>Scale</t>
  </si>
  <si>
    <t>Database</t>
  </si>
  <si>
    <t>Series_Code</t>
  </si>
  <si>
    <t>Descriptor</t>
  </si>
  <si>
    <t>US Dollars</t>
  </si>
  <si>
    <t>Billions</t>
  </si>
  <si>
    <t>Total debt outstanding at year-end</t>
  </si>
  <si>
    <t>Total debt interest paid</t>
  </si>
  <si>
    <t>National Currency per US Dollar</t>
  </si>
  <si>
    <t>None</t>
  </si>
  <si>
    <t>Exchange rate, national currency per U.S. Dollar</t>
  </si>
  <si>
    <t>Exports of goods and services</t>
  </si>
  <si>
    <t>Imports of goods and services</t>
  </si>
  <si>
    <t>National Currency</t>
  </si>
  <si>
    <t>Gross domestic product, current prices</t>
  </si>
  <si>
    <t>Gross domestic product, constant prices</t>
  </si>
  <si>
    <t>Index Number</t>
  </si>
  <si>
    <t>Gross domestic product deflator</t>
  </si>
  <si>
    <t>Projections</t>
  </si>
  <si>
    <t>Net foreign direct investment, excluding debt-creating liabilities</t>
  </si>
  <si>
    <t>Equity securities</t>
  </si>
  <si>
    <t xml:space="preserve">Actual </t>
  </si>
  <si>
    <t xml:space="preserve">Nominal GDP (US dollars)  </t>
  </si>
  <si>
    <t>Net non-debt creating capital inflows (negative)</t>
  </si>
  <si>
    <t>(In percent of GDP, unless otherwise indicated)</t>
  </si>
  <si>
    <t>External debt-to-exports ratio (in percent)</t>
  </si>
  <si>
    <t>Change in external debt</t>
  </si>
  <si>
    <t>Automatic debt dynamics 1/</t>
  </si>
  <si>
    <r>
      <t>Denominator: 1+g+</t>
    </r>
    <r>
      <rPr>
        <sz val="10"/>
        <rFont val="Symbol"/>
        <family val="1"/>
      </rPr>
      <t>r</t>
    </r>
    <r>
      <rPr>
        <sz val="10"/>
        <rFont val="Times New Roman"/>
        <family val="1"/>
      </rPr>
      <t>+g</t>
    </r>
    <r>
      <rPr>
        <sz val="10"/>
        <rFont val="Symbol"/>
        <family val="1"/>
      </rPr>
      <t>r</t>
    </r>
  </si>
  <si>
    <t xml:space="preserve">Contribution from real GDP growth 2/ </t>
  </si>
  <si>
    <t>Gross external financing need</t>
  </si>
  <si>
    <t>Total amortization due</t>
  </si>
  <si>
    <t>Formulas</t>
  </si>
  <si>
    <t>Non-interest current account deficit</t>
  </si>
  <si>
    <t>Gross external financing need (in billions of US dollars) 3/</t>
  </si>
  <si>
    <t>in percent of GDP</t>
  </si>
  <si>
    <t>Identified external debt-creating flows (4+8+11)</t>
  </si>
  <si>
    <t>Current account deficit, excluding interest payments</t>
  </si>
  <si>
    <t>Net foreign direct investment, equity</t>
  </si>
  <si>
    <t>Net portfolio investment,equity</t>
  </si>
  <si>
    <t>Residual, incl. change in gross foreign assets (2-3)</t>
  </si>
  <si>
    <t>Real GDP growth (in percent)</t>
  </si>
  <si>
    <t>Nominal external interest rate (in percent)</t>
  </si>
  <si>
    <t>Key Macroeconomic and External Assumptions</t>
  </si>
  <si>
    <t xml:space="preserve">II. Stress Tests for External Debt Ratio </t>
  </si>
  <si>
    <t>Contribution from nominal interest rate 2/</t>
  </si>
  <si>
    <t>Exchange rate (dollar/LC)</t>
  </si>
  <si>
    <t xml:space="preserve">GDP inflation (domestic currency) </t>
  </si>
  <si>
    <t xml:space="preserve">Debt and debt service falling due </t>
  </si>
  <si>
    <t>Appreciation of domestic currency (in percent)</t>
  </si>
  <si>
    <t>Exchange rate appreciation (US dollar value of local currency, change in percent)</t>
  </si>
  <si>
    <t xml:space="preserve">Contribution from price and exchange rate changes 2/ </t>
  </si>
  <si>
    <t>hide</t>
  </si>
  <si>
    <t>Historical Statistics for Key Variables (past 10 years)</t>
  </si>
  <si>
    <t>Historical</t>
  </si>
  <si>
    <t>Average</t>
  </si>
  <si>
    <t xml:space="preserve">Standard </t>
  </si>
  <si>
    <t>Deviation</t>
  </si>
  <si>
    <t xml:space="preserve">Current account deficit, excluding interest payments </t>
  </si>
  <si>
    <t xml:space="preserve">Net non-debt creating capital inflows </t>
  </si>
  <si>
    <t>Nominal interest rate (in percent)</t>
  </si>
  <si>
    <t>GDP deflator (change in domestic currency)</t>
  </si>
  <si>
    <t>GDP deflator in US dollars (change in percent)</t>
  </si>
  <si>
    <t>Deficit in balance of goods and services</t>
  </si>
  <si>
    <t>Exports</t>
  </si>
  <si>
    <t xml:space="preserve">Imports </t>
  </si>
  <si>
    <t>Growth of exports (US dollar terms, in percent)</t>
  </si>
  <si>
    <t>Growth of imports  (US dollar terms, in percent)</t>
  </si>
  <si>
    <t>...</t>
  </si>
  <si>
    <t>Alternative Scenario 1: Key Variables at Historical Average</t>
  </si>
  <si>
    <t>I.  Medium-Term Projections</t>
  </si>
  <si>
    <t>Nominal debt alternative scenario</t>
  </si>
  <si>
    <t xml:space="preserve">Nominal GDP (billions of US dollars)  </t>
  </si>
  <si>
    <t>Gross external financing need (billions of US dollars) 3/</t>
  </si>
  <si>
    <t xml:space="preserve">  Short-term/total debt (in percent)</t>
  </si>
  <si>
    <t xml:space="preserve">  Average maturity (MLT debt/amortization)</t>
  </si>
  <si>
    <t xml:space="preserve">   Short term (same share as in baseline)</t>
  </si>
  <si>
    <t>Amortization of MLT debt (same maturity as in baseline)</t>
  </si>
  <si>
    <t>Interest payments (based on assumed interest rate)</t>
  </si>
  <si>
    <t>Current account deficit (excluding interest)</t>
  </si>
  <si>
    <t>In billions of dollars</t>
  </si>
  <si>
    <t>I. Baseline Projections</t>
  </si>
  <si>
    <t>II. Stress Tests</t>
  </si>
  <si>
    <t>Gross external financing need in billions of U.S. dollars 1/</t>
  </si>
  <si>
    <t>debt. Interest expenditures are derived by applying the respective interest rate to the previous period debt stock under each alternative scenario.</t>
  </si>
  <si>
    <t>Gross external financing need in billions of U.S. dollars 2/</t>
  </si>
  <si>
    <t>Gross external financing need in percent of GDP 2/</t>
  </si>
  <si>
    <t xml:space="preserve">1/ Defined as non-interest current account deficit, plus interest and amortization on medium- and long-term debt, plus short-term debt at end of previous period. </t>
  </si>
  <si>
    <t xml:space="preserve">3/ Defined as non-interest current account deficit, plus interest and amortization on medium- and long-term debt, plus short-term debt at end of previous period. </t>
  </si>
  <si>
    <r>
      <t xml:space="preserve">1/ Derived as [r - g - </t>
    </r>
    <r>
      <rPr>
        <sz val="10"/>
        <rFont val="Symbol"/>
        <family val="1"/>
      </rPr>
      <t>r(1+</t>
    </r>
    <r>
      <rPr>
        <sz val="10"/>
        <rFont val="Times New Roman"/>
        <family val="0"/>
      </rPr>
      <t xml:space="preserve">g) + </t>
    </r>
    <r>
      <rPr>
        <sz val="10"/>
        <rFont val="Symbol"/>
        <family val="1"/>
      </rPr>
      <t>ea</t>
    </r>
    <r>
      <rPr>
        <sz val="10"/>
        <rFont val="Times New Roman"/>
        <family val="0"/>
      </rPr>
      <t>(1+r)]/(1+g+</t>
    </r>
    <r>
      <rPr>
        <sz val="10"/>
        <rFont val="Symbol"/>
        <family val="1"/>
      </rPr>
      <t>r</t>
    </r>
    <r>
      <rPr>
        <sz val="10"/>
        <rFont val="Times New Roman"/>
        <family val="0"/>
      </rPr>
      <t>+g</t>
    </r>
    <r>
      <rPr>
        <sz val="10"/>
        <rFont val="Symbol"/>
        <family val="1"/>
      </rPr>
      <t>r</t>
    </r>
    <r>
      <rPr>
        <sz val="10"/>
        <rFont val="Times New Roman"/>
        <family val="0"/>
      </rPr>
      <t xml:space="preserve">) times previous period debt stock, with r = nominal effective interest rate on external debt; </t>
    </r>
    <r>
      <rPr>
        <sz val="10"/>
        <rFont val="Symbol"/>
        <family val="1"/>
      </rPr>
      <t xml:space="preserve">r </t>
    </r>
    <r>
      <rPr>
        <sz val="10"/>
        <rFont val="Times New Roman"/>
        <family val="0"/>
      </rPr>
      <t xml:space="preserve">= change in domestic GDP deflator in US dollar terms, </t>
    </r>
  </si>
  <si>
    <t>g = real GDP growth rate, e = nominal appreciation (increase in dollar value of domestic currency), and a = share of domestic-currency denominated debt in total external debt.</t>
  </si>
  <si>
    <r>
      <t>2/ The contribution from price and exchange rate changes is defined as [-</t>
    </r>
    <r>
      <rPr>
        <sz val="10"/>
        <rFont val="Symbol"/>
        <family val="1"/>
      </rPr>
      <t>r(1+</t>
    </r>
    <r>
      <rPr>
        <sz val="10"/>
        <rFont val="Times New Roman"/>
        <family val="1"/>
      </rPr>
      <t>g</t>
    </r>
    <r>
      <rPr>
        <sz val="10"/>
        <rFont val="Symbol"/>
        <family val="1"/>
      </rPr>
      <t>) + ea(1+</t>
    </r>
    <r>
      <rPr>
        <sz val="10"/>
        <rFont val="Times New Roman"/>
        <family val="1"/>
      </rPr>
      <t>r</t>
    </r>
    <r>
      <rPr>
        <sz val="10"/>
        <rFont val="Symbol"/>
        <family val="1"/>
      </rPr>
      <t>)]/(</t>
    </r>
    <r>
      <rPr>
        <sz val="10"/>
        <rFont val="Times New Roman"/>
        <family val="1"/>
      </rPr>
      <t>1+g+</t>
    </r>
    <r>
      <rPr>
        <sz val="10"/>
        <rFont val="Symbol"/>
        <family val="1"/>
      </rPr>
      <t>r</t>
    </r>
    <r>
      <rPr>
        <sz val="10"/>
        <rFont val="Times New Roman"/>
        <family val="1"/>
      </rPr>
      <t>+g</t>
    </r>
    <r>
      <rPr>
        <sz val="10"/>
        <rFont val="Symbol"/>
        <family val="1"/>
      </rPr>
      <t>r</t>
    </r>
    <r>
      <rPr>
        <sz val="10"/>
        <rFont val="Times New Roman"/>
        <family val="1"/>
      </rPr>
      <t xml:space="preserve">) times previous period debt stock. </t>
    </r>
    <r>
      <rPr>
        <sz val="10"/>
        <rFont val="Symbol"/>
        <family val="1"/>
      </rPr>
      <t xml:space="preserve">r </t>
    </r>
    <r>
      <rPr>
        <sz val="10"/>
        <rFont val="Times New Roman"/>
        <family val="1"/>
      </rPr>
      <t>increases with an appreciating domestic currency (</t>
    </r>
    <r>
      <rPr>
        <sz val="10"/>
        <rFont val="Symbol"/>
        <family val="1"/>
      </rPr>
      <t xml:space="preserve">e </t>
    </r>
    <r>
      <rPr>
        <sz val="10"/>
        <rFont val="Times New Roman"/>
        <family val="1"/>
      </rPr>
      <t xml:space="preserve">&gt; 0) </t>
    </r>
  </si>
  <si>
    <t xml:space="preserve">and rising inflation (based on GDP deflator). </t>
  </si>
  <si>
    <t>Local currency denominated external debt (excluding exchange-rate linked debt)</t>
  </si>
  <si>
    <t>Contribution from nominal interest rate</t>
  </si>
  <si>
    <t xml:space="preserve">Contribution from real GDP growth </t>
  </si>
  <si>
    <t>2/ Gross external financing under the stress-test scenarios is derived by assuming the same ratio of short-term to total debt as in the baseline scenario and the same average maturity on medium- and long term</t>
  </si>
  <si>
    <t>Domestic currency debt/total debt in previous period (in percent)</t>
  </si>
  <si>
    <t>Insert</t>
  </si>
  <si>
    <t xml:space="preserve">3/ Defined as current account deficit, plus amortization on medium- and long-term debt, plus short-term debt at end of previous period. </t>
  </si>
  <si>
    <t>Exports (adjusted consistent with change in current account)</t>
  </si>
  <si>
    <t>Imports (ratio as in baseline)</t>
  </si>
  <si>
    <t>Exports (ratio as in baseline)</t>
  </si>
  <si>
    <t>Net foreign direct investment, equity (dollar value as in baseline)</t>
  </si>
  <si>
    <t>Net portfolio investment,equity (dollar value as in baseline)</t>
  </si>
  <si>
    <t>Residual, incl. change in gross foreign assets (2-3) (dollar value as in baseline)</t>
  </si>
  <si>
    <t>Net foreign direct investment, equity  (dollar value as in baseline)</t>
  </si>
  <si>
    <t>Net portfolio investment,equity  (dollar value as in baseline)</t>
  </si>
  <si>
    <t>Residual, incl. change in gross foreign assets (2-3)  (dollar value as in baseline)</t>
  </si>
  <si>
    <t>Current account deficit, excluding interest payments (ratio as in baseline)</t>
  </si>
  <si>
    <t>Debt-stabilizing</t>
  </si>
  <si>
    <t xml:space="preserve">non-interest </t>
  </si>
  <si>
    <t>projections</t>
  </si>
  <si>
    <t>For shifting the calculations one year forward</t>
  </si>
  <si>
    <t>Identified external debt-creating flows (4+8+9)</t>
  </si>
  <si>
    <t>10-Year</t>
  </si>
  <si>
    <t>Projected</t>
  </si>
  <si>
    <t>Key Macroeconomic Assumptions</t>
  </si>
  <si>
    <t xml:space="preserve">Current account balance, excluding interest payments </t>
  </si>
  <si>
    <t>A. Alternative Scenarios</t>
  </si>
  <si>
    <t>4/ The key variables include real GDP growth; nominal interest rate; dollar deflator growth; and both non-interest current account and non-debt inflows in percent of GDP.</t>
  </si>
  <si>
    <t xml:space="preserve">5/ The implied change in other key variables under this scenario is discussed in the text. </t>
  </si>
  <si>
    <t>Bound Test 1: Interest Rate Shock</t>
  </si>
  <si>
    <t>B. Bound Tests</t>
  </si>
  <si>
    <t>Bound Test 2: Real Output Shock</t>
  </si>
  <si>
    <t>Bound Test 4: Current Account Shock</t>
  </si>
  <si>
    <t>Bound Test 6: 30 Percent Nominal Depreciation</t>
  </si>
  <si>
    <t>current account 6/</t>
  </si>
  <si>
    <t>For debt</t>
  </si>
  <si>
    <t>stabilization</t>
  </si>
  <si>
    <t xml:space="preserve">I.  Baseline  Projections </t>
  </si>
  <si>
    <t>Residual, incl. change in gross foreign assets (2-3) 3/</t>
  </si>
  <si>
    <t xml:space="preserve">4/ Defined as current account deficit, plus amortization on medium- and long-term debt, plus short-term debt at end of previous period. </t>
  </si>
  <si>
    <t>5/ The key variables include real GDP growth; nominal interest rate; dollar deflator growth; and both non-interest current account and non-debt inflows in percent of GDP.</t>
  </si>
  <si>
    <t>Gross external financing need (in billions of US dollars) 4/</t>
  </si>
  <si>
    <t>UPDATE the years in the "Table" sheet by changing the number in column S to represent the first projection year</t>
  </si>
  <si>
    <t>A3. Selected variables are consistent with market forecast in 2005-09</t>
  </si>
  <si>
    <t>at their levels of the last projection year.</t>
  </si>
  <si>
    <t>of the last projection year.</t>
  </si>
  <si>
    <t>3/ For projection, line includes the impact of price and exchange rate changes.</t>
  </si>
  <si>
    <t>A2. Country-specific shock in 2005, with reduction in GDP growth (relative to baseline) of one standard deviation 4/</t>
  </si>
  <si>
    <t>3/ The key variables include real GDP growth; nominal interest rate; dollar deflator growth; and both non-interest current account and non-debt inflows in percent of GDP.</t>
  </si>
  <si>
    <t xml:space="preserve">4/ The implied change in other key variables under this scenario is discussed in the text. </t>
  </si>
  <si>
    <t xml:space="preserve">current account deficit </t>
  </si>
  <si>
    <t>II. Stress Test: One time 30 percent nominal depreciation in the following year</t>
  </si>
  <si>
    <t xml:space="preserve">6/ Long-run, constant balance that stabilizes the debt ratio assuming that key variables (real GDP growth, nominal interest rate, dollar deflator growth, and non-debt inflows in percent of GDP) remain </t>
  </si>
  <si>
    <t>B5. One time 30 percent real depreciation in 2006</t>
  </si>
  <si>
    <t>B1. Nominal interest rate is at historical average plus one standard deviation</t>
  </si>
  <si>
    <t>B2. Real GDP growth is at historical average minus one standard deviations</t>
  </si>
  <si>
    <t>B3. Non-interest current account is at historical average minus one standard deviations</t>
  </si>
  <si>
    <t>GFN</t>
  </si>
  <si>
    <t>30 % baseline</t>
  </si>
  <si>
    <t>Baseline</t>
  </si>
  <si>
    <t>Historical scenario</t>
  </si>
  <si>
    <t xml:space="preserve">i-rate </t>
  </si>
  <si>
    <t xml:space="preserve">Growth </t>
  </si>
  <si>
    <t xml:space="preserve">CA </t>
  </si>
  <si>
    <t>Combined</t>
  </si>
  <si>
    <t>m</t>
  </si>
  <si>
    <t>s</t>
  </si>
  <si>
    <t>Shade</t>
  </si>
  <si>
    <t>B4. Combination of B1-B3 using 1/2 standard deviation shocks</t>
  </si>
  <si>
    <t xml:space="preserve">6/ Long-run, constant balance that stabilizes the debt ratio assuming that key variables (real GDP growth, nominal interest rate, dollar deflator growth, and non-debt inflows in percent of GDP) remain at their levels </t>
  </si>
  <si>
    <t>Baseline: External debt</t>
  </si>
  <si>
    <t>Scenario with key variables at their historical averages 5/</t>
  </si>
  <si>
    <t>Key Macroeconomic Assumptions Underlying Baseline</t>
  </si>
  <si>
    <t>Scenario</t>
  </si>
  <si>
    <t>B1. Nominal interest rate is at baseline plus one-half standard deviation</t>
  </si>
  <si>
    <t>B2. Real GDP growth is at baseline minus one-half standard deviations</t>
  </si>
  <si>
    <t>B3. Non-interest current account is at baseline minus one-half standard deviations</t>
  </si>
  <si>
    <t>B4. Combination of B1-B4 using 1/4 standard deviation shocks</t>
  </si>
  <si>
    <t>B1. Nominal interest rate is at baseline plus one-half standard deviations</t>
  </si>
  <si>
    <t>II. Stress Test: Nominal interest rate is at baseline plus one-half standard deviations in projection years</t>
  </si>
  <si>
    <t>II. Stress Test: Real GDP growth is at baseline minus one-half standard deviations in projection years</t>
  </si>
  <si>
    <t>II. Stress Test: Non-interest current account is at baseline minus one-half standard deviations in projection years</t>
  </si>
  <si>
    <t>B4. Combination of B1-B3 using 1/4 standard deviation shocks</t>
  </si>
  <si>
    <t>II. Stress Test: Combination of bound tests B1-B3 using 1/4 standard deviation shocks</t>
  </si>
  <si>
    <t>II. Stress Test: Real GDP growth, nominal interest rate, dollar deflator, non-interest current account, and non-debt inflows are at historical average in projection years</t>
  </si>
  <si>
    <t>Bound Test 5: Combined 1/4 Standard Deviation Shock</t>
  </si>
  <si>
    <t>Denominator: 1+g+r+gr</t>
  </si>
  <si>
    <r>
      <t xml:space="preserve">1/ </t>
    </r>
    <r>
      <rPr>
        <sz val="9"/>
        <rFont val="Arial"/>
        <family val="2"/>
      </rPr>
      <t>Derived 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 xml:space="preserve">[r - g - </t>
    </r>
    <r>
      <rPr>
        <sz val="9"/>
        <rFont val="Symbol"/>
        <family val="1"/>
      </rPr>
      <t>r</t>
    </r>
    <r>
      <rPr>
        <sz val="9"/>
        <rFont val="Arial"/>
        <family val="2"/>
      </rPr>
      <t xml:space="preserve">(1+g) + </t>
    </r>
    <r>
      <rPr>
        <sz val="9"/>
        <rFont val="Symbol"/>
        <family val="1"/>
      </rPr>
      <t>ea</t>
    </r>
    <r>
      <rPr>
        <sz val="9"/>
        <rFont val="Arial"/>
        <family val="2"/>
      </rPr>
      <t>(1+r)]/(1+g+</t>
    </r>
    <r>
      <rPr>
        <sz val="9"/>
        <rFont val="Symbol"/>
        <family val="1"/>
      </rPr>
      <t>r</t>
    </r>
    <r>
      <rPr>
        <sz val="9"/>
        <rFont val="Arial"/>
        <family val="2"/>
      </rPr>
      <t>+g</t>
    </r>
    <r>
      <rPr>
        <sz val="9"/>
        <rFont val="Symbol"/>
        <family val="1"/>
      </rPr>
      <t>r</t>
    </r>
    <r>
      <rPr>
        <sz val="9"/>
        <rFont val="Times New Roman"/>
        <family val="1"/>
      </rPr>
      <t>)</t>
    </r>
    <r>
      <rPr>
        <sz val="9"/>
        <rFont val="Arial"/>
        <family val="2"/>
      </rPr>
      <t xml:space="preserve"> times previous period debt stock, with r = nominal effective interest rate on external debt</t>
    </r>
    <r>
      <rPr>
        <sz val="9"/>
        <rFont val="Times New Roman"/>
        <family val="1"/>
      </rPr>
      <t xml:space="preserve">; </t>
    </r>
    <r>
      <rPr>
        <sz val="9"/>
        <rFont val="Symbol"/>
        <family val="1"/>
      </rPr>
      <t xml:space="preserve">r </t>
    </r>
    <r>
      <rPr>
        <sz val="9"/>
        <rFont val="Times New Roman"/>
        <family val="1"/>
      </rPr>
      <t xml:space="preserve">= </t>
    </r>
    <r>
      <rPr>
        <sz val="9"/>
        <rFont val="Arial"/>
        <family val="2"/>
      </rPr>
      <t xml:space="preserve">change in domestic GDP deflator in US dollar terms, g = real GDP growth rate, </t>
    </r>
  </si>
  <si>
    <r>
      <t>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 xml:space="preserve">= nominal appreciation (increase in dollar value of domestic currency), and </t>
    </r>
    <r>
      <rPr>
        <sz val="9"/>
        <rFont val="Symbol"/>
        <family val="1"/>
      </rPr>
      <t>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= share of domestic-currency denominated debt in total external debt.</t>
    </r>
  </si>
  <si>
    <r>
      <t>2/ The contribution from price and exchange rate changes is defined as [-</t>
    </r>
    <r>
      <rPr>
        <sz val="9"/>
        <rFont val="Symbol"/>
        <family val="1"/>
      </rPr>
      <t>r</t>
    </r>
    <r>
      <rPr>
        <sz val="9"/>
        <rFont val="Arial"/>
        <family val="2"/>
      </rPr>
      <t>(1+g</t>
    </r>
    <r>
      <rPr>
        <sz val="9"/>
        <rFont val="Symbol"/>
        <family val="1"/>
      </rPr>
      <t>) + ea</t>
    </r>
    <r>
      <rPr>
        <sz val="9"/>
        <rFont val="Arial"/>
        <family val="2"/>
      </rPr>
      <t>(1+r</t>
    </r>
    <r>
      <rPr>
        <sz val="9"/>
        <rFont val="Symbol"/>
        <family val="1"/>
      </rPr>
      <t>)]/(</t>
    </r>
    <r>
      <rPr>
        <sz val="9"/>
        <rFont val="Arial"/>
        <family val="2"/>
      </rPr>
      <t>1+g+</t>
    </r>
    <r>
      <rPr>
        <sz val="9"/>
        <rFont val="Symbol"/>
        <family val="1"/>
      </rPr>
      <t>r</t>
    </r>
    <r>
      <rPr>
        <sz val="9"/>
        <rFont val="Arial"/>
        <family val="2"/>
      </rPr>
      <t>+g</t>
    </r>
    <r>
      <rPr>
        <sz val="9"/>
        <rFont val="Symbol"/>
        <family val="1"/>
      </rPr>
      <t>r</t>
    </r>
    <r>
      <rPr>
        <sz val="9"/>
        <rFont val="Times New Roman"/>
        <family val="1"/>
      </rPr>
      <t xml:space="preserve">) </t>
    </r>
    <r>
      <rPr>
        <sz val="9"/>
        <rFont val="Arial"/>
        <family val="2"/>
      </rPr>
      <t>times previous period debt stock</t>
    </r>
    <r>
      <rPr>
        <sz val="9"/>
        <rFont val="Times New Roman"/>
        <family val="1"/>
      </rPr>
      <t xml:space="preserve">. </t>
    </r>
    <r>
      <rPr>
        <sz val="9"/>
        <rFont val="Symbol"/>
        <family val="1"/>
      </rPr>
      <t xml:space="preserve">r </t>
    </r>
    <r>
      <rPr>
        <sz val="9"/>
        <rFont val="Arial"/>
        <family val="2"/>
      </rPr>
      <t>increases with an appreciating domestic currency</t>
    </r>
    <r>
      <rPr>
        <sz val="9"/>
        <rFont val="Times New Roman"/>
        <family val="1"/>
      </rPr>
      <t xml:space="preserve"> (</t>
    </r>
    <r>
      <rPr>
        <sz val="9"/>
        <rFont val="Symbol"/>
        <family val="1"/>
      </rPr>
      <t xml:space="preserve">e </t>
    </r>
    <r>
      <rPr>
        <sz val="9"/>
        <rFont val="Times New Roman"/>
        <family val="1"/>
      </rPr>
      <t xml:space="preserve">&gt; 0) </t>
    </r>
    <r>
      <rPr>
        <sz val="9"/>
        <rFont val="Arial"/>
        <family val="2"/>
      </rPr>
      <t xml:space="preserve">and rising inflation (based on GDP deflator). </t>
    </r>
  </si>
  <si>
    <t xml:space="preserve">Algeria             </t>
  </si>
  <si>
    <t xml:space="preserve">Antigua and Barbuda </t>
  </si>
  <si>
    <t>Argentina</t>
  </si>
  <si>
    <t xml:space="preserve">Bahamas, The        </t>
  </si>
  <si>
    <t>Bahrain, Kingdom of</t>
  </si>
  <si>
    <t xml:space="preserve">Barbados            </t>
  </si>
  <si>
    <t>Belarus</t>
  </si>
  <si>
    <t xml:space="preserve">Belize              </t>
  </si>
  <si>
    <t>Bosnia &amp; Herzegovina</t>
  </si>
  <si>
    <t xml:space="preserve">Botswana            </t>
  </si>
  <si>
    <t>Brazil</t>
  </si>
  <si>
    <t xml:space="preserve">Brunei Darussalam   </t>
  </si>
  <si>
    <t xml:space="preserve">Bulgaria            </t>
  </si>
  <si>
    <t>Chile</t>
  </si>
  <si>
    <t>China,P.R.: Mainland</t>
  </si>
  <si>
    <t>Colombia</t>
  </si>
  <si>
    <t xml:space="preserve">Costa Rica          </t>
  </si>
  <si>
    <t>Croatia</t>
  </si>
  <si>
    <t>Dominican Republic</t>
  </si>
  <si>
    <t>Ecuador</t>
  </si>
  <si>
    <t xml:space="preserve">Egypt               </t>
  </si>
  <si>
    <t xml:space="preserve">El Salvador         </t>
  </si>
  <si>
    <t xml:space="preserve">Equatorial Guinea   </t>
  </si>
  <si>
    <t xml:space="preserve">Estonia             </t>
  </si>
  <si>
    <t xml:space="preserve">Fiji                </t>
  </si>
  <si>
    <t xml:space="preserve">Gabon               </t>
  </si>
  <si>
    <t xml:space="preserve">Guatemala           </t>
  </si>
  <si>
    <t xml:space="preserve">Hungary             </t>
  </si>
  <si>
    <t>India</t>
  </si>
  <si>
    <t xml:space="preserve">Indonesia           </t>
  </si>
  <si>
    <t>Iran, I.R. of</t>
  </si>
  <si>
    <t xml:space="preserve">Iraq                </t>
  </si>
  <si>
    <t>Jordan</t>
  </si>
  <si>
    <t xml:space="preserve">Kazakhstan          </t>
  </si>
  <si>
    <t>Kuwait</t>
  </si>
  <si>
    <t xml:space="preserve">Latvia              </t>
  </si>
  <si>
    <t xml:space="preserve">Lebanon             </t>
  </si>
  <si>
    <t xml:space="preserve">Libya               </t>
  </si>
  <si>
    <t xml:space="preserve">Lithuania           </t>
  </si>
  <si>
    <t>Macedonia, FYR</t>
  </si>
  <si>
    <t xml:space="preserve">Malaysia            </t>
  </si>
  <si>
    <t>Mauritius</t>
  </si>
  <si>
    <t>Mexico</t>
  </si>
  <si>
    <t xml:space="preserve">Morocco             </t>
  </si>
  <si>
    <t xml:space="preserve">Namibia             </t>
  </si>
  <si>
    <t xml:space="preserve">Oman                </t>
  </si>
  <si>
    <t>Pakistan</t>
  </si>
  <si>
    <t xml:space="preserve">Panama              </t>
  </si>
  <si>
    <t xml:space="preserve">Paraguay            </t>
  </si>
  <si>
    <t>Peru</t>
  </si>
  <si>
    <t>Philippines</t>
  </si>
  <si>
    <t xml:space="preserve">Poland              </t>
  </si>
  <si>
    <t>Qatar</t>
  </si>
  <si>
    <t>Romania</t>
  </si>
  <si>
    <t>Saudi Arabia</t>
  </si>
  <si>
    <t>Serbia, Republic of</t>
  </si>
  <si>
    <t>Seychelles</t>
  </si>
  <si>
    <t xml:space="preserve">Slovak Republic     </t>
  </si>
  <si>
    <t xml:space="preserve">South Africa        </t>
  </si>
  <si>
    <t xml:space="preserve">St. Kitts and Nevis </t>
  </si>
  <si>
    <t>Suriname</t>
  </si>
  <si>
    <t xml:space="preserve">Swaziland           </t>
  </si>
  <si>
    <t>Syrian Arab Republic</t>
  </si>
  <si>
    <t>Thailand</t>
  </si>
  <si>
    <t>Trinidad and Tobago</t>
  </si>
  <si>
    <t>Tunisia</t>
  </si>
  <si>
    <t>Turkey</t>
  </si>
  <si>
    <t xml:space="preserve">Turkmenistan        </t>
  </si>
  <si>
    <t>Ukraine</t>
  </si>
  <si>
    <t>United Arab Emirates</t>
  </si>
  <si>
    <t>Uruguay</t>
  </si>
  <si>
    <t>Venezuela, Rep. Bol.</t>
  </si>
  <si>
    <t>&lt;---Select your country from drop down menu</t>
  </si>
  <si>
    <t>Country</t>
  </si>
  <si>
    <t>EDSS Code</t>
  </si>
  <si>
    <t>Gross domestic product, current prices, U.S. dollars</t>
  </si>
  <si>
    <t>Instructions</t>
  </si>
  <si>
    <t>Armenia</t>
  </si>
  <si>
    <t>Short-term debt outstanding at year-end</t>
  </si>
  <si>
    <t>Germany</t>
  </si>
  <si>
    <t>Albania</t>
  </si>
  <si>
    <t xml:space="preserve">Angola              </t>
  </si>
  <si>
    <t xml:space="preserve">Australia           </t>
  </si>
  <si>
    <t>Austria</t>
  </si>
  <si>
    <t>Azerbaijan, Rep. of</t>
  </si>
  <si>
    <t>Belgium</t>
  </si>
  <si>
    <t xml:space="preserve">Bhutan              </t>
  </si>
  <si>
    <t xml:space="preserve">Bolivia             </t>
  </si>
  <si>
    <t xml:space="preserve">Cameroon            </t>
  </si>
  <si>
    <t xml:space="preserve">Canada              </t>
  </si>
  <si>
    <t xml:space="preserve">Cape Verde          </t>
  </si>
  <si>
    <t>Congo, Republic of</t>
  </si>
  <si>
    <t xml:space="preserve">Côte d'Ivoire       </t>
  </si>
  <si>
    <t xml:space="preserve">Cyprus              </t>
  </si>
  <si>
    <t>Czech Republic</t>
  </si>
  <si>
    <t xml:space="preserve">Denmark             </t>
  </si>
  <si>
    <t xml:space="preserve">Djibouti            </t>
  </si>
  <si>
    <t xml:space="preserve">Dominica            </t>
  </si>
  <si>
    <t>Finland</t>
  </si>
  <si>
    <t>France</t>
  </si>
  <si>
    <t xml:space="preserve">Georgia             </t>
  </si>
  <si>
    <t>Greece</t>
  </si>
  <si>
    <t xml:space="preserve">Grenada             </t>
  </si>
  <si>
    <t xml:space="preserve">Guyana              </t>
  </si>
  <si>
    <t xml:space="preserve">Honduras            </t>
  </si>
  <si>
    <t>China,P.R.:Hong Kong</t>
  </si>
  <si>
    <t xml:space="preserve">Iceland             </t>
  </si>
  <si>
    <t>Ireland</t>
  </si>
  <si>
    <t xml:space="preserve">Israel              </t>
  </si>
  <si>
    <t>Italy</t>
  </si>
  <si>
    <t xml:space="preserve">Jamaica             </t>
  </si>
  <si>
    <t xml:space="preserve">Japan               </t>
  </si>
  <si>
    <t xml:space="preserve">Kiribati            </t>
  </si>
  <si>
    <t>Korea, Republic of</t>
  </si>
  <si>
    <t>Kosovo, Republic of</t>
  </si>
  <si>
    <t xml:space="preserve">Lesotho             </t>
  </si>
  <si>
    <t>Luxembourg</t>
  </si>
  <si>
    <t xml:space="preserve">Maldives            </t>
  </si>
  <si>
    <t xml:space="preserve">Malta               </t>
  </si>
  <si>
    <t xml:space="preserve">Moldova             </t>
  </si>
  <si>
    <t xml:space="preserve">Mongolia            </t>
  </si>
  <si>
    <t>Montenegro</t>
  </si>
  <si>
    <t>Netherlands</t>
  </si>
  <si>
    <t xml:space="preserve">New Zealand         </t>
  </si>
  <si>
    <t xml:space="preserve">Nicaragua           </t>
  </si>
  <si>
    <t xml:space="preserve">Nigeria             </t>
  </si>
  <si>
    <t>Norway</t>
  </si>
  <si>
    <t xml:space="preserve">Papua New Guinea    </t>
  </si>
  <si>
    <t>Portugal</t>
  </si>
  <si>
    <t>Russian Federation</t>
  </si>
  <si>
    <t>Samoa</t>
  </si>
  <si>
    <t>São Tomé &amp; Príncipe</t>
  </si>
  <si>
    <t>Senegal</t>
  </si>
  <si>
    <t xml:space="preserve">Singapore           </t>
  </si>
  <si>
    <t>Slovenia</t>
  </si>
  <si>
    <t>Spain</t>
  </si>
  <si>
    <t>Sri Lanka</t>
  </si>
  <si>
    <t xml:space="preserve">St. Lucia           </t>
  </si>
  <si>
    <t>St. Vincent &amp; Grens.</t>
  </si>
  <si>
    <t>Sudan</t>
  </si>
  <si>
    <t>Sweden</t>
  </si>
  <si>
    <t xml:space="preserve">Switzerland         </t>
  </si>
  <si>
    <t>Timor-Leste</t>
  </si>
  <si>
    <t xml:space="preserve">Tonga               </t>
  </si>
  <si>
    <t xml:space="preserve">United Kingdom      </t>
  </si>
  <si>
    <t>United States</t>
  </si>
  <si>
    <t xml:space="preserve">Uzbekistan          </t>
  </si>
  <si>
    <t xml:space="preserve">Vanuatu             </t>
  </si>
  <si>
    <t>Vietnam</t>
  </si>
  <si>
    <t>Yemen, Republic of</t>
  </si>
  <si>
    <t xml:space="preserve">First year of </t>
  </si>
  <si>
    <t xml:space="preserve">SELECT your country from the drop down list. </t>
  </si>
  <si>
    <t>CHECK if values are correct.</t>
  </si>
  <si>
    <t>GO TO SHEET "Input_external".</t>
  </si>
  <si>
    <t>UPDATE the years in the "Input_external" sheet with column R referring to the first year of projections.</t>
  </si>
  <si>
    <t>Copy the relevant data from your database into the input sheet (areas highlighted in yellow), or go to the IMF WEO database via the following link:</t>
  </si>
  <si>
    <t>http://www.imf.org/external/pubs/ft/weo/2015/01/weodata/index.aspx</t>
  </si>
  <si>
    <t>Once "input_external" is filled in correctly, the baseline and stress test results are automatically calibrated and summarized in the output tables</t>
  </si>
  <si>
    <t>in sheets "Table" (debt ratios) and "Table_GEF" (gross external financing need). For inclusion in briefs and Staff Reports, use "Table_SR"</t>
  </si>
  <si>
    <t>which hides exchange rate projections and sheet "Panel Chart" which contains graphical representations of stress test outcomes.</t>
  </si>
  <si>
    <t>Updated as of: April 15,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</si>
</sst>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0.0"/>
    <numFmt numFmtId="170" formatCode="0,,"/>
    <numFmt numFmtId="171" formatCode="0.0,"/>
    <numFmt numFmtId="172" formatCode=".0,"/>
    <numFmt numFmtId="173" formatCode="#,##0,"/>
    <numFmt numFmtId="174" formatCode="#,##0,,"/>
    <numFmt numFmtId="175" formatCode="#,##0,,,"/>
    <numFmt numFmtId="176" formatCode="#,##0.0,,"/>
    <numFmt numFmtId="177" formatCode="#,##0.00,,"/>
    <numFmt numFmtId="178" formatCode="0.0000"/>
    <numFmt numFmtId="179" formatCode="0.000"/>
    <numFmt numFmtId="180" formatCode="#,##0.000"/>
    <numFmt numFmtId="181" formatCode="mmm\ dd\,\ yyyy"/>
    <numFmt numFmtId="182" formatCode="0.00000"/>
    <numFmt numFmtId="183" formatCode="0.0000000"/>
    <numFmt numFmtId="184" formatCode="0.000000"/>
    <numFmt numFmtId="185" formatCode=";;;"/>
    <numFmt numFmtId="186" formatCode="mm/dd/yy"/>
    <numFmt numFmtId="187" formatCode="General_)"/>
    <numFmt numFmtId="188" formatCode="mmmmm\-yy"/>
    <numFmt numFmtId="189" formatCode="mmmm\ d\,\ yyyy"/>
    <numFmt numFmtId="190" formatCode="dd\-mmm\-yy"/>
    <numFmt numFmtId="191" formatCode="0.0%"/>
    <numFmt numFmtId="192" formatCode="0.00000000"/>
    <numFmt numFmtId="193" formatCode="0.000000000"/>
    <numFmt numFmtId="194" formatCode="0.0000000000"/>
  </numFmts>
  <fonts count="81">
    <font>
      <sz val="10"/>
      <name val="Times New Roman"/>
      <family val="0"/>
    </font>
    <font>
      <b/>
      <sz val="10"/>
      <name val="Times New Roman"/>
      <family val="1"/>
    </font>
    <font>
      <sz val="10"/>
      <name val="Symbol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b/>
      <sz val="10"/>
      <name val="Symbol"/>
      <family val="1"/>
    </font>
    <font>
      <b/>
      <u val="single"/>
      <sz val="10"/>
      <name val="Symbol"/>
      <family val="1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Symbol"/>
      <family val="1"/>
    </font>
    <font>
      <sz val="9"/>
      <name val="Tahoma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i/>
      <sz val="10"/>
      <name val="Segoe UI"/>
      <family val="2"/>
    </font>
    <font>
      <u val="single"/>
      <sz val="10"/>
      <color indexed="12"/>
      <name val="Segoe UI"/>
      <family val="2"/>
    </font>
    <font>
      <sz val="10"/>
      <color indexed="10"/>
      <name val="Segoe UI"/>
      <family val="2"/>
    </font>
    <font>
      <sz val="10"/>
      <color indexed="9"/>
      <name val="Segoe UI"/>
      <family val="2"/>
    </font>
    <font>
      <b/>
      <u val="single"/>
      <sz val="10"/>
      <name val="Segoe UI"/>
      <family val="2"/>
    </font>
    <font>
      <b/>
      <sz val="14"/>
      <color indexed="56"/>
      <name val="Segoe U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sz val="6"/>
      <color indexed="8"/>
      <name val="Arial"/>
      <family val="2"/>
    </font>
    <font>
      <b/>
      <sz val="10"/>
      <color indexed="56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egoe UI"/>
      <family val="2"/>
    </font>
    <font>
      <sz val="10"/>
      <color theme="0"/>
      <name val="Segoe UI"/>
      <family val="2"/>
    </font>
    <font>
      <b/>
      <sz val="14"/>
      <color theme="3"/>
      <name val="Segoe UI"/>
      <family val="2"/>
    </font>
    <font>
      <b/>
      <sz val="10"/>
      <color theme="3"/>
      <name val="Segoe UI"/>
      <family val="2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 quotePrefix="1">
      <alignment horizontal="left" indent="3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left" indent="2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0" fillId="0" borderId="11" xfId="0" applyNumberFormat="1" applyBorder="1" applyAlignment="1">
      <alignment/>
    </xf>
    <xf numFmtId="169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0" fontId="0" fillId="0" borderId="0" xfId="0" applyFont="1" applyAlignment="1" quotePrefix="1">
      <alignment horizontal="left" indent="2"/>
    </xf>
    <xf numFmtId="169" fontId="1" fillId="0" borderId="0" xfId="0" applyNumberFormat="1" applyFont="1" applyAlignment="1">
      <alignment/>
    </xf>
    <xf numFmtId="169" fontId="1" fillId="0" borderId="10" xfId="0" applyNumberFormat="1" applyFont="1" applyBorder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 horizontal="left" indent="2"/>
    </xf>
    <xf numFmtId="169" fontId="0" fillId="0" borderId="0" xfId="0" applyNumberFormat="1" applyAlignment="1">
      <alignment horizontal="left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left" indent="4"/>
    </xf>
    <xf numFmtId="169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9" fontId="5" fillId="0" borderId="0" xfId="0" applyNumberFormat="1" applyFont="1" applyAlignment="1">
      <alignment/>
    </xf>
    <xf numFmtId="169" fontId="0" fillId="0" borderId="10" xfId="0" applyNumberFormat="1" applyBorder="1" applyAlignment="1">
      <alignment/>
    </xf>
    <xf numFmtId="191" fontId="0" fillId="0" borderId="0" xfId="59" applyNumberFormat="1" applyFont="1" applyAlignment="1">
      <alignment horizontal="left"/>
    </xf>
    <xf numFmtId="169" fontId="1" fillId="0" borderId="0" xfId="0" applyNumberFormat="1" applyFont="1" applyAlignment="1">
      <alignment/>
    </xf>
    <xf numFmtId="169" fontId="1" fillId="0" borderId="10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9" fontId="1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/>
    </xf>
    <xf numFmtId="169" fontId="9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Continuous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8" fontId="0" fillId="0" borderId="0" xfId="0" applyNumberFormat="1" applyAlignment="1">
      <alignment horizontal="left" indent="2"/>
    </xf>
    <xf numFmtId="169" fontId="0" fillId="0" borderId="10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69" fontId="0" fillId="0" borderId="0" xfId="0" applyNumberFormat="1" applyBorder="1" applyAlignment="1">
      <alignment horizontal="center"/>
    </xf>
    <xf numFmtId="0" fontId="1" fillId="0" borderId="0" xfId="0" applyFont="1" applyFill="1" applyAlignment="1">
      <alignment/>
    </xf>
    <xf numFmtId="169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0" fontId="8" fillId="0" borderId="0" xfId="0" applyFont="1" applyAlignment="1">
      <alignment/>
    </xf>
    <xf numFmtId="169" fontId="1" fillId="0" borderId="0" xfId="0" applyNumberFormat="1" applyFont="1" applyAlignment="1">
      <alignment horizontal="right" indent="3"/>
    </xf>
    <xf numFmtId="169" fontId="0" fillId="0" borderId="0" xfId="0" applyNumberFormat="1" applyAlignment="1">
      <alignment horizontal="right" indent="3"/>
    </xf>
    <xf numFmtId="191" fontId="0" fillId="0" borderId="0" xfId="59" applyNumberForma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" fontId="0" fillId="34" borderId="0" xfId="0" applyNumberFormat="1" applyFill="1" applyAlignment="1">
      <alignment/>
    </xf>
    <xf numFmtId="1" fontId="4" fillId="34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169" fontId="16" fillId="0" borderId="0" xfId="0" applyNumberFormat="1" applyFont="1" applyAlignment="1">
      <alignment/>
    </xf>
    <xf numFmtId="169" fontId="19" fillId="0" borderId="0" xfId="0" applyNumberFormat="1" applyFont="1" applyAlignment="1">
      <alignment/>
    </xf>
    <xf numFmtId="169" fontId="19" fillId="0" borderId="0" xfId="0" applyNumberFormat="1" applyFont="1" applyAlignment="1">
      <alignment/>
    </xf>
    <xf numFmtId="169" fontId="19" fillId="0" borderId="10" xfId="0" applyNumberFormat="1" applyFont="1" applyBorder="1" applyAlignment="1">
      <alignment/>
    </xf>
    <xf numFmtId="169" fontId="19" fillId="0" borderId="10" xfId="0" applyNumberFormat="1" applyFont="1" applyBorder="1" applyAlignment="1">
      <alignment/>
    </xf>
    <xf numFmtId="169" fontId="19" fillId="0" borderId="0" xfId="0" applyNumberFormat="1" applyFont="1" applyBorder="1" applyAlignment="1">
      <alignment horizontal="center"/>
    </xf>
    <xf numFmtId="169" fontId="19" fillId="0" borderId="11" xfId="0" applyNumberFormat="1" applyFont="1" applyBorder="1" applyAlignment="1">
      <alignment horizontal="centerContinuous"/>
    </xf>
    <xf numFmtId="1" fontId="16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169" fontId="16" fillId="0" borderId="0" xfId="0" applyNumberFormat="1" applyFont="1" applyBorder="1" applyAlignment="1">
      <alignment/>
    </xf>
    <xf numFmtId="169" fontId="16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69" fontId="20" fillId="0" borderId="0" xfId="0" applyNumberFormat="1" applyFont="1" applyAlignment="1">
      <alignment/>
    </xf>
    <xf numFmtId="169" fontId="19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left" indent="2"/>
    </xf>
    <xf numFmtId="0" fontId="21" fillId="0" borderId="0" xfId="0" applyFont="1" applyAlignment="1">
      <alignment horizontal="center"/>
    </xf>
    <xf numFmtId="0" fontId="16" fillId="0" borderId="0" xfId="0" applyFont="1" applyAlignment="1" quotePrefix="1">
      <alignment horizontal="left" indent="3"/>
    </xf>
    <xf numFmtId="169" fontId="16" fillId="0" borderId="0" xfId="0" applyNumberFormat="1" applyFont="1" applyAlignment="1">
      <alignment/>
    </xf>
    <xf numFmtId="0" fontId="16" fillId="0" borderId="0" xfId="0" applyFont="1" applyAlignment="1">
      <alignment horizontal="left" indent="4"/>
    </xf>
    <xf numFmtId="0" fontId="16" fillId="0" borderId="0" xfId="0" applyFont="1" applyAlignment="1">
      <alignment horizontal="left" indent="3"/>
    </xf>
    <xf numFmtId="0" fontId="16" fillId="0" borderId="0" xfId="0" applyFont="1" applyAlignment="1">
      <alignment horizontal="left" indent="2"/>
    </xf>
    <xf numFmtId="169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169" fontId="16" fillId="0" borderId="0" xfId="0" applyNumberFormat="1" applyFont="1" applyAlignment="1">
      <alignment horizontal="left" indent="2"/>
    </xf>
    <xf numFmtId="178" fontId="16" fillId="0" borderId="0" xfId="0" applyNumberFormat="1" applyFont="1" applyAlignment="1">
      <alignment horizontal="left" indent="2"/>
    </xf>
    <xf numFmtId="0" fontId="19" fillId="0" borderId="0" xfId="0" applyFont="1" applyAlignment="1">
      <alignment horizontal="left"/>
    </xf>
    <xf numFmtId="16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9" fillId="0" borderId="0" xfId="0" applyFont="1" applyFill="1" applyAlignment="1">
      <alignment/>
    </xf>
    <xf numFmtId="169" fontId="19" fillId="0" borderId="0" xfId="0" applyNumberFormat="1" applyFont="1" applyAlignment="1">
      <alignment horizontal="right"/>
    </xf>
    <xf numFmtId="169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2" fontId="16" fillId="0" borderId="0" xfId="0" applyNumberFormat="1" applyFont="1" applyAlignment="1">
      <alignment horizontal="center"/>
    </xf>
    <xf numFmtId="191" fontId="16" fillId="0" borderId="0" xfId="59" applyNumberFormat="1" applyFont="1" applyAlignment="1">
      <alignment horizontal="left"/>
    </xf>
    <xf numFmtId="169" fontId="16" fillId="0" borderId="11" xfId="0" applyNumberFormat="1" applyFont="1" applyBorder="1" applyAlignment="1">
      <alignment horizontal="center"/>
    </xf>
    <xf numFmtId="169" fontId="16" fillId="0" borderId="11" xfId="0" applyNumberFormat="1" applyFont="1" applyBorder="1" applyAlignment="1">
      <alignment/>
    </xf>
    <xf numFmtId="169" fontId="16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169" fontId="22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169" fontId="0" fillId="35" borderId="0" xfId="0" applyNumberFormat="1" applyFill="1" applyAlignment="1">
      <alignment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9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45" fillId="36" borderId="0" xfId="0" applyFont="1" applyFill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168" fontId="45" fillId="0" borderId="0" xfId="0" applyNumberFormat="1" applyFont="1" applyAlignment="1">
      <alignment/>
    </xf>
    <xf numFmtId="168" fontId="45" fillId="37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/>
    </xf>
    <xf numFmtId="1" fontId="45" fillId="37" borderId="0" xfId="0" applyNumberFormat="1" applyFont="1" applyFill="1" applyAlignment="1">
      <alignment horizontal="center"/>
    </xf>
    <xf numFmtId="1" fontId="45" fillId="0" borderId="0" xfId="0" applyNumberFormat="1" applyFont="1" applyFill="1" applyAlignment="1">
      <alignment/>
    </xf>
    <xf numFmtId="1" fontId="45" fillId="36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5" fillId="33" borderId="0" xfId="0" applyFont="1" applyFill="1" applyAlignment="1">
      <alignment/>
    </xf>
    <xf numFmtId="169" fontId="45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2" fontId="45" fillId="0" borderId="0" xfId="0" applyNumberFormat="1" applyFont="1" applyAlignment="1">
      <alignment/>
    </xf>
    <xf numFmtId="179" fontId="45" fillId="0" borderId="0" xfId="0" applyNumberFormat="1" applyFont="1" applyAlignment="1">
      <alignment/>
    </xf>
    <xf numFmtId="169" fontId="45" fillId="0" borderId="0" xfId="0" applyNumberFormat="1" applyFont="1" applyAlignment="1">
      <alignment/>
    </xf>
    <xf numFmtId="0" fontId="45" fillId="38" borderId="0" xfId="0" applyFont="1" applyFill="1" applyAlignment="1">
      <alignment/>
    </xf>
    <xf numFmtId="2" fontId="45" fillId="38" borderId="0" xfId="0" applyNumberFormat="1" applyFont="1" applyFill="1" applyAlignment="1">
      <alignment/>
    </xf>
    <xf numFmtId="169" fontId="45" fillId="38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3" fontId="45" fillId="36" borderId="0" xfId="0" applyNumberFormat="1" applyFont="1" applyFill="1" applyAlignment="1">
      <alignment/>
    </xf>
    <xf numFmtId="0" fontId="45" fillId="39" borderId="0" xfId="0" applyFont="1" applyFill="1" applyAlignment="1">
      <alignment/>
    </xf>
    <xf numFmtId="0" fontId="45" fillId="39" borderId="0" xfId="0" applyFont="1" applyFill="1" applyAlignment="1">
      <alignment/>
    </xf>
    <xf numFmtId="0" fontId="76" fillId="39" borderId="0" xfId="0" applyFont="1" applyFill="1" applyAlignment="1">
      <alignment/>
    </xf>
    <xf numFmtId="0" fontId="77" fillId="39" borderId="0" xfId="0" applyFont="1" applyFill="1" applyAlignment="1">
      <alignment/>
    </xf>
    <xf numFmtId="0" fontId="77" fillId="39" borderId="0" xfId="0" applyNumberFormat="1" applyFont="1" applyFill="1" applyAlignment="1">
      <alignment horizontal="right"/>
    </xf>
    <xf numFmtId="0" fontId="77" fillId="39" borderId="0" xfId="0" applyFont="1" applyFill="1" applyAlignment="1">
      <alignment horizontal="right"/>
    </xf>
    <xf numFmtId="0" fontId="77" fillId="0" borderId="0" xfId="0" applyNumberFormat="1" applyFont="1" applyAlignment="1">
      <alignment horizontal="right"/>
    </xf>
    <xf numFmtId="0" fontId="45" fillId="39" borderId="0" xfId="0" applyFont="1" applyFill="1" applyBorder="1" applyAlignment="1">
      <alignment/>
    </xf>
    <xf numFmtId="0" fontId="45" fillId="39" borderId="12" xfId="0" applyFont="1" applyFill="1" applyBorder="1" applyAlignment="1">
      <alignment/>
    </xf>
    <xf numFmtId="0" fontId="45" fillId="39" borderId="13" xfId="0" applyFont="1" applyFill="1" applyBorder="1" applyAlignment="1">
      <alignment/>
    </xf>
    <xf numFmtId="0" fontId="45" fillId="39" borderId="14" xfId="0" applyFont="1" applyFill="1" applyBorder="1" applyAlignment="1">
      <alignment/>
    </xf>
    <xf numFmtId="0" fontId="45" fillId="39" borderId="15" xfId="0" applyFont="1" applyFill="1" applyBorder="1" applyAlignment="1">
      <alignment/>
    </xf>
    <xf numFmtId="0" fontId="45" fillId="39" borderId="16" xfId="0" applyFont="1" applyFill="1" applyBorder="1" applyAlignment="1">
      <alignment/>
    </xf>
    <xf numFmtId="0" fontId="45" fillId="39" borderId="17" xfId="0" applyFont="1" applyFill="1" applyBorder="1" applyAlignment="1">
      <alignment/>
    </xf>
    <xf numFmtId="0" fontId="45" fillId="39" borderId="18" xfId="0" applyFont="1" applyFill="1" applyBorder="1" applyAlignment="1">
      <alignment/>
    </xf>
    <xf numFmtId="0" fontId="78" fillId="36" borderId="0" xfId="0" applyFont="1" applyFill="1" applyAlignment="1">
      <alignment/>
    </xf>
    <xf numFmtId="0" fontId="51" fillId="36" borderId="0" xfId="0" applyFont="1" applyFill="1" applyAlignment="1">
      <alignment/>
    </xf>
    <xf numFmtId="0" fontId="46" fillId="36" borderId="0" xfId="0" applyFont="1" applyFill="1" applyAlignment="1">
      <alignment/>
    </xf>
    <xf numFmtId="0" fontId="45" fillId="39" borderId="0" xfId="0" applyFont="1" applyFill="1" applyAlignment="1">
      <alignment horizontal="center"/>
    </xf>
    <xf numFmtId="0" fontId="45" fillId="39" borderId="0" xfId="0" applyFont="1" applyFill="1" applyAlignment="1">
      <alignment horizontal="left" indent="1"/>
    </xf>
    <xf numFmtId="0" fontId="45" fillId="39" borderId="19" xfId="0" applyFont="1" applyFill="1" applyBorder="1" applyAlignment="1">
      <alignment horizontal="left" indent="1"/>
    </xf>
    <xf numFmtId="0" fontId="45" fillId="39" borderId="14" xfId="0" applyFont="1" applyFill="1" applyBorder="1" applyAlignment="1">
      <alignment horizontal="left" indent="1"/>
    </xf>
    <xf numFmtId="0" fontId="45" fillId="39" borderId="14" xfId="0" applyFont="1" applyFill="1" applyBorder="1" applyAlignment="1">
      <alignment horizontal="left" indent="3"/>
    </xf>
    <xf numFmtId="0" fontId="48" fillId="39" borderId="14" xfId="53" applyFont="1" applyFill="1" applyBorder="1" applyAlignment="1" applyProtection="1">
      <alignment horizontal="left" indent="5"/>
      <protection/>
    </xf>
    <xf numFmtId="0" fontId="45" fillId="39" borderId="14" xfId="0" applyFont="1" applyFill="1" applyBorder="1" applyAlignment="1">
      <alignment horizontal="left" indent="8"/>
    </xf>
    <xf numFmtId="0" fontId="79" fillId="39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Interest rate shock (in percent)</a:t>
            </a:r>
          </a:p>
        </c:rich>
      </c:tx>
      <c:layout>
        <c:manualLayout>
          <c:xMode val="factor"/>
          <c:yMode val="factor"/>
          <c:x val="0.018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795"/>
          <c:w val="0.97775"/>
          <c:h val="0.9165"/>
        </c:manualLayout>
      </c:layout>
      <c:areaChart>
        <c:grouping val="stacked"/>
        <c:varyColors val="0"/>
        <c:ser>
          <c:idx val="1"/>
          <c:order val="2"/>
          <c:tx>
            <c:strRef>
              <c:f>Chartdata!$B$11</c:f>
              <c:strCache>
                <c:ptCount val="1"/>
                <c:pt idx="0">
                  <c:v>Shade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Chartdata!$C$11:$G$11</c:f>
              <c:numCache>
                <c:ptCount val="5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</c:numCache>
            </c:numRef>
          </c:val>
        </c:ser>
        <c:axId val="33811019"/>
        <c:axId val="35863716"/>
      </c:areaChart>
      <c:lineChart>
        <c:grouping val="standard"/>
        <c:varyColors val="0"/>
        <c:ser>
          <c:idx val="2"/>
          <c:order val="0"/>
          <c:tx>
            <c:strRef>
              <c:f>Chartdata!$B$5</c:f>
              <c:strCache>
                <c:ptCount val="1"/>
                <c:pt idx="0">
                  <c:v>i-rate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i-rate shock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Chartdata!$C$5:$M$5</c:f>
              <c:numCache>
                <c:ptCount val="11"/>
                <c:pt idx="0">
                  <c:v>4.314859534503879</c:v>
                </c:pt>
                <c:pt idx="1">
                  <c:v>3.4481060927535223</c:v>
                </c:pt>
                <c:pt idx="2">
                  <c:v>4.122122200101253</c:v>
                </c:pt>
                <c:pt idx="3">
                  <c:v>3.533196087813501</c:v>
                </c:pt>
                <c:pt idx="4">
                  <c:v>2.6753682908552867</c:v>
                </c:pt>
                <c:pt idx="5">
                  <c:v>2.514588096821696</c:v>
                </c:pt>
                <c:pt idx="6">
                  <c:v>2.4621394146635907</c:v>
                </c:pt>
                <c:pt idx="7">
                  <c:v>2.3988657791560315</c:v>
                </c:pt>
                <c:pt idx="8">
                  <c:v>2.3267360705535194</c:v>
                </c:pt>
                <c:pt idx="9">
                  <c:v>2.263041144210695</c:v>
                </c:pt>
                <c:pt idx="10">
                  <c:v>2.1799815522750605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Chartdata!$B$10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Chartdata!$C$10:$M$10</c:f>
              <c:numCache>
                <c:ptCount val="11"/>
                <c:pt idx="0">
                  <c:v>4.314859534503879</c:v>
                </c:pt>
                <c:pt idx="1">
                  <c:v>3.4481060927535223</c:v>
                </c:pt>
                <c:pt idx="2">
                  <c:v>4.122122200101253</c:v>
                </c:pt>
                <c:pt idx="3">
                  <c:v>3.533196087813501</c:v>
                </c:pt>
                <c:pt idx="4">
                  <c:v>2.6753682908552867</c:v>
                </c:pt>
                <c:pt idx="5">
                  <c:v>2.456394533865412</c:v>
                </c:pt>
                <c:pt idx="6">
                  <c:v>2.317377196639941</c:v>
                </c:pt>
                <c:pt idx="7">
                  <c:v>2.181349788458221</c:v>
                </c:pt>
                <c:pt idx="8">
                  <c:v>2.03850616806054</c:v>
                </c:pt>
                <c:pt idx="9">
                  <c:v>1.9113949499584706</c:v>
                </c:pt>
                <c:pt idx="10">
                  <c:v>1.7710164824675605</c:v>
                </c:pt>
              </c:numCache>
            </c:numRef>
          </c:val>
          <c:smooth val="0"/>
        </c:ser>
        <c:axId val="33811019"/>
        <c:axId val="35863716"/>
      </c:lineChart>
      <c:catAx>
        <c:axId val="33811019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63716"/>
        <c:crossesAt val="30"/>
        <c:auto val="0"/>
        <c:lblOffset val="100"/>
        <c:tickLblSkip val="2"/>
        <c:tickMarkSkip val="2"/>
        <c:noMultiLvlLbl val="0"/>
      </c:catAx>
      <c:valAx>
        <c:axId val="35863716"/>
        <c:scaling>
          <c:orientation val="minMax"/>
          <c:max val="55"/>
          <c:min val="3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1101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Baseline and historical scenarios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625"/>
          <c:w val="0.96975"/>
          <c:h val="0.90975"/>
        </c:manualLayout>
      </c:layout>
      <c:areaChart>
        <c:grouping val="stacked"/>
        <c:varyColors val="0"/>
        <c:ser>
          <c:idx val="3"/>
          <c:order val="3"/>
          <c:tx>
            <c:strRef>
              <c:f>Chartdata!$B$11</c:f>
              <c:strCache>
                <c:ptCount val="1"/>
                <c:pt idx="0">
                  <c:v>Shade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Chartdata!$C$11:$G$11</c:f>
              <c:numCache>
                <c:ptCount val="5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</c:numCache>
            </c:numRef>
          </c:val>
        </c:ser>
        <c:axId val="54337989"/>
        <c:axId val="19279854"/>
      </c:areaChart>
      <c:barChart>
        <c:barDir val="col"/>
        <c:grouping val="clustered"/>
        <c:varyColors val="0"/>
        <c:ser>
          <c:idx val="1"/>
          <c:order val="1"/>
          <c:tx>
            <c:strRef>
              <c:f>Chartdata!$B$4</c:f>
              <c:strCache>
                <c:ptCount val="1"/>
                <c:pt idx="0">
                  <c:v>GFN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Chartdata!$C$4:$M$4</c:f>
              <c:numCache>
                <c:ptCount val="11"/>
                <c:pt idx="0">
                  <c:v>-21.77905804732329</c:v>
                </c:pt>
                <c:pt idx="1">
                  <c:v>-18.956835317007386</c:v>
                </c:pt>
                <c:pt idx="2">
                  <c:v>0.7244024371680038</c:v>
                </c:pt>
                <c:pt idx="3">
                  <c:v>-6.00863563507751</c:v>
                </c:pt>
                <c:pt idx="4">
                  <c:v>-9.017597987456698</c:v>
                </c:pt>
                <c:pt idx="5">
                  <c:v>-5.140078121884597</c:v>
                </c:pt>
                <c:pt idx="6">
                  <c:v>-3.34271847832079</c:v>
                </c:pt>
                <c:pt idx="7">
                  <c:v>-3.7737945789312444</c:v>
                </c:pt>
                <c:pt idx="8">
                  <c:v>-3.6473590652302845</c:v>
                </c:pt>
                <c:pt idx="9">
                  <c:v>-3.741616056433264</c:v>
                </c:pt>
                <c:pt idx="10">
                  <c:v>-4.42076531746339</c:v>
                </c:pt>
              </c:numCache>
            </c:numRef>
          </c:val>
        </c:ser>
        <c:axId val="39300959"/>
        <c:axId val="18164312"/>
      </c:barChart>
      <c:lineChart>
        <c:grouping val="standard"/>
        <c:varyColors val="0"/>
        <c:ser>
          <c:idx val="0"/>
          <c:order val="0"/>
          <c:tx>
            <c:strRef>
              <c:f>Chartdata!$B$3</c:f>
              <c:strCache>
                <c:ptCount val="1"/>
                <c:pt idx="0">
                  <c:v>Historical scenario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Historical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Chartdata!$C$3:$M$3</c:f>
              <c:numCache>
                <c:ptCount val="11"/>
                <c:pt idx="0">
                  <c:v>4.314859534503879</c:v>
                </c:pt>
                <c:pt idx="1">
                  <c:v>3.4481060927535223</c:v>
                </c:pt>
                <c:pt idx="2">
                  <c:v>4.122122200101253</c:v>
                </c:pt>
                <c:pt idx="3">
                  <c:v>3.533196087813501</c:v>
                </c:pt>
                <c:pt idx="4">
                  <c:v>2.6753682908552867</c:v>
                </c:pt>
                <c:pt idx="5">
                  <c:v>2.514588096821696</c:v>
                </c:pt>
                <c:pt idx="6">
                  <c:v>-9.842422447948683</c:v>
                </c:pt>
                <c:pt idx="7">
                  <c:v>-21.293993138283547</c:v>
                </c:pt>
                <c:pt idx="8">
                  <c:v>-32.388396314084126</c:v>
                </c:pt>
                <c:pt idx="9">
                  <c:v>-42.92141634315797</c:v>
                </c:pt>
                <c:pt idx="10">
                  <c:v>-52.45483189850952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Chartdata!$B$10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Chartdata!$C$10:$M$10</c:f>
              <c:numCache>
                <c:ptCount val="11"/>
                <c:pt idx="0">
                  <c:v>4.314859534503879</c:v>
                </c:pt>
                <c:pt idx="1">
                  <c:v>3.4481060927535223</c:v>
                </c:pt>
                <c:pt idx="2">
                  <c:v>4.122122200101253</c:v>
                </c:pt>
                <c:pt idx="3">
                  <c:v>3.533196087813501</c:v>
                </c:pt>
                <c:pt idx="4">
                  <c:v>2.6753682908552867</c:v>
                </c:pt>
                <c:pt idx="5">
                  <c:v>2.456394533865412</c:v>
                </c:pt>
                <c:pt idx="6">
                  <c:v>2.317377196639941</c:v>
                </c:pt>
                <c:pt idx="7">
                  <c:v>2.181349788458221</c:v>
                </c:pt>
                <c:pt idx="8">
                  <c:v>2.03850616806054</c:v>
                </c:pt>
                <c:pt idx="9">
                  <c:v>1.9113949499584706</c:v>
                </c:pt>
                <c:pt idx="10">
                  <c:v>1.7710164824675605</c:v>
                </c:pt>
              </c:numCache>
            </c:numRef>
          </c:val>
          <c:smooth val="0"/>
        </c:ser>
        <c:axId val="54337989"/>
        <c:axId val="19279854"/>
      </c:lineChart>
      <c:catAx>
        <c:axId val="54337989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79854"/>
        <c:crossesAt val="30"/>
        <c:auto val="0"/>
        <c:lblOffset val="100"/>
        <c:tickLblSkip val="2"/>
        <c:noMultiLvlLbl val="0"/>
      </c:catAx>
      <c:valAx>
        <c:axId val="19279854"/>
        <c:scaling>
          <c:orientation val="minMax"/>
          <c:max val="55"/>
          <c:min val="3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37989"/>
        <c:crossesAt val="1"/>
        <c:crossBetween val="midCat"/>
        <c:dispUnits/>
        <c:majorUnit val="5"/>
      </c:valAx>
      <c:catAx>
        <c:axId val="39300959"/>
        <c:scaling>
          <c:orientation val="minMax"/>
        </c:scaling>
        <c:axPos val="b"/>
        <c:delete val="1"/>
        <c:majorTickMark val="out"/>
        <c:minorTickMark val="none"/>
        <c:tickLblPos val="none"/>
        <c:crossAx val="18164312"/>
        <c:crosses val="autoZero"/>
        <c:auto val="0"/>
        <c:lblOffset val="100"/>
        <c:tickLblSkip val="1"/>
        <c:noMultiLvlLbl val="0"/>
      </c:catAx>
      <c:valAx>
        <c:axId val="18164312"/>
        <c:scaling>
          <c:orientation val="minMax"/>
          <c:max val="20"/>
          <c:min val="1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300959"/>
        <c:crosses val="max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79"/>
          <c:w val="0.9775"/>
          <c:h val="0.917"/>
        </c:manualLayout>
      </c:layout>
      <c:areaChart>
        <c:grouping val="stacked"/>
        <c:varyColors val="0"/>
        <c:ser>
          <c:idx val="1"/>
          <c:order val="2"/>
          <c:tx>
            <c:strRef>
              <c:f>Chartdata!$B$11</c:f>
              <c:strCache>
                <c:ptCount val="1"/>
                <c:pt idx="0">
                  <c:v>Shade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Chartdata!$C$11:$G$11</c:f>
              <c:numCache>
                <c:ptCount val="5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</c:numCache>
            </c:numRef>
          </c:val>
        </c:ser>
        <c:axId val="29261081"/>
        <c:axId val="62023138"/>
      </c:areaChart>
      <c:lineChart>
        <c:grouping val="standard"/>
        <c:varyColors val="0"/>
        <c:ser>
          <c:idx val="3"/>
          <c:order val="0"/>
          <c:tx>
            <c:strRef>
              <c:f>Chartdata!$B$7</c:f>
              <c:strCache>
                <c:ptCount val="1"/>
                <c:pt idx="0">
                  <c:v>CA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CA shock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Chartdata!$C$7:$M$7</c:f>
              <c:numCache>
                <c:ptCount val="11"/>
                <c:pt idx="0">
                  <c:v>4.314859534503879</c:v>
                </c:pt>
                <c:pt idx="1">
                  <c:v>3.4481060927535223</c:v>
                </c:pt>
                <c:pt idx="2">
                  <c:v>4.122122200101253</c:v>
                </c:pt>
                <c:pt idx="3">
                  <c:v>3.533196087813501</c:v>
                </c:pt>
                <c:pt idx="4">
                  <c:v>2.6753682908552867</c:v>
                </c:pt>
                <c:pt idx="5">
                  <c:v>2.514588096821696</c:v>
                </c:pt>
                <c:pt idx="6">
                  <c:v>6.400014248112379</c:v>
                </c:pt>
                <c:pt idx="7">
                  <c:v>10.174724241367526</c:v>
                </c:pt>
                <c:pt idx="8">
                  <c:v>13.948695576185505</c:v>
                </c:pt>
                <c:pt idx="9">
                  <c:v>17.6107522148321</c:v>
                </c:pt>
                <c:pt idx="10">
                  <c:v>21.127156794799014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Chartdata!$B$10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Chartdata!$C$10:$M$10</c:f>
              <c:numCache>
                <c:ptCount val="11"/>
                <c:pt idx="0">
                  <c:v>4.314859534503879</c:v>
                </c:pt>
                <c:pt idx="1">
                  <c:v>3.4481060927535223</c:v>
                </c:pt>
                <c:pt idx="2">
                  <c:v>4.122122200101253</c:v>
                </c:pt>
                <c:pt idx="3">
                  <c:v>3.533196087813501</c:v>
                </c:pt>
                <c:pt idx="4">
                  <c:v>2.6753682908552867</c:v>
                </c:pt>
                <c:pt idx="5">
                  <c:v>2.456394533865412</c:v>
                </c:pt>
                <c:pt idx="6">
                  <c:v>2.317377196639941</c:v>
                </c:pt>
                <c:pt idx="7">
                  <c:v>2.181349788458221</c:v>
                </c:pt>
                <c:pt idx="8">
                  <c:v>2.03850616806054</c:v>
                </c:pt>
                <c:pt idx="9">
                  <c:v>1.9113949499584706</c:v>
                </c:pt>
                <c:pt idx="10">
                  <c:v>1.7710164824675605</c:v>
                </c:pt>
              </c:numCache>
            </c:numRef>
          </c:val>
          <c:smooth val="0"/>
        </c:ser>
        <c:axId val="29261081"/>
        <c:axId val="62023138"/>
      </c:lineChart>
      <c:catAx>
        <c:axId val="29261081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23138"/>
        <c:crossesAt val="30"/>
        <c:auto val="0"/>
        <c:lblOffset val="100"/>
        <c:tickLblSkip val="2"/>
        <c:tickMarkSkip val="2"/>
        <c:noMultiLvlLbl val="0"/>
      </c:catAx>
      <c:valAx>
        <c:axId val="62023138"/>
        <c:scaling>
          <c:orientation val="minMax"/>
          <c:max val="55"/>
          <c:min val="3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6108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Combined shock  3/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05"/>
          <c:w val="0.97075"/>
          <c:h val="0.9055"/>
        </c:manualLayout>
      </c:layout>
      <c:areaChart>
        <c:grouping val="stacked"/>
        <c:varyColors val="0"/>
        <c:ser>
          <c:idx val="1"/>
          <c:order val="2"/>
          <c:tx>
            <c:strRef>
              <c:f>Chartdata!$B$11</c:f>
              <c:strCache>
                <c:ptCount val="1"/>
                <c:pt idx="0">
                  <c:v>Shade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Chartdata!$C$11:$G$11</c:f>
              <c:numCache>
                <c:ptCount val="5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</c:numCache>
            </c:numRef>
          </c:val>
        </c:ser>
        <c:axId val="21337331"/>
        <c:axId val="57818252"/>
      </c:areaChart>
      <c:lineChart>
        <c:grouping val="standard"/>
        <c:varyColors val="0"/>
        <c:ser>
          <c:idx val="5"/>
          <c:order val="0"/>
          <c:tx>
            <c:strRef>
              <c:f>Chartdata!$B$8</c:f>
              <c:strCache>
                <c:ptCount val="1"/>
                <c:pt idx="0">
                  <c:v>Combined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Combined shock 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Chartdata!$C$8:$M$8</c:f>
              <c:numCache>
                <c:ptCount val="11"/>
                <c:pt idx="0">
                  <c:v>4.314859534503879</c:v>
                </c:pt>
                <c:pt idx="1">
                  <c:v>3.4481060927535223</c:v>
                </c:pt>
                <c:pt idx="2">
                  <c:v>4.122122200101253</c:v>
                </c:pt>
                <c:pt idx="3">
                  <c:v>3.533196087813501</c:v>
                </c:pt>
                <c:pt idx="4">
                  <c:v>2.6753682908552867</c:v>
                </c:pt>
                <c:pt idx="5">
                  <c:v>2.514588096821696</c:v>
                </c:pt>
                <c:pt idx="6">
                  <c:v>4.624343085691031</c:v>
                </c:pt>
                <c:pt idx="7">
                  <c:v>6.808145490436955</c:v>
                </c:pt>
                <c:pt idx="8">
                  <c:v>9.095367384107089</c:v>
                </c:pt>
                <c:pt idx="9">
                  <c:v>11.448315099952183</c:v>
                </c:pt>
                <c:pt idx="10">
                  <c:v>13.92047622029952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Chartdata!$B$10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Chartdata!$C$10:$M$10</c:f>
              <c:numCache>
                <c:ptCount val="11"/>
                <c:pt idx="0">
                  <c:v>4.314859534503879</c:v>
                </c:pt>
                <c:pt idx="1">
                  <c:v>3.4481060927535223</c:v>
                </c:pt>
                <c:pt idx="2">
                  <c:v>4.122122200101253</c:v>
                </c:pt>
                <c:pt idx="3">
                  <c:v>3.533196087813501</c:v>
                </c:pt>
                <c:pt idx="4">
                  <c:v>2.6753682908552867</c:v>
                </c:pt>
                <c:pt idx="5">
                  <c:v>2.456394533865412</c:v>
                </c:pt>
                <c:pt idx="6">
                  <c:v>2.317377196639941</c:v>
                </c:pt>
                <c:pt idx="7">
                  <c:v>2.181349788458221</c:v>
                </c:pt>
                <c:pt idx="8">
                  <c:v>2.03850616806054</c:v>
                </c:pt>
                <c:pt idx="9">
                  <c:v>1.9113949499584706</c:v>
                </c:pt>
                <c:pt idx="10">
                  <c:v>1.7710164824675605</c:v>
                </c:pt>
              </c:numCache>
            </c:numRef>
          </c:val>
          <c:smooth val="0"/>
        </c:ser>
        <c:axId val="21337331"/>
        <c:axId val="57818252"/>
      </c:lineChart>
      <c:catAx>
        <c:axId val="21337331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18252"/>
        <c:crossesAt val="30"/>
        <c:auto val="0"/>
        <c:lblOffset val="100"/>
        <c:tickLblSkip val="2"/>
        <c:tickMarkSkip val="2"/>
        <c:noMultiLvlLbl val="0"/>
      </c:catAx>
      <c:valAx>
        <c:axId val="57818252"/>
        <c:scaling>
          <c:orientation val="minMax"/>
          <c:max val="55"/>
          <c:min val="3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3733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Real depreciation shock  4/</a:t>
            </a:r>
          </a:p>
        </c:rich>
      </c:tx>
      <c:layout>
        <c:manualLayout>
          <c:xMode val="factor"/>
          <c:yMode val="factor"/>
          <c:x val="0.011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275"/>
          <c:w val="0.9775"/>
          <c:h val="0.91325"/>
        </c:manualLayout>
      </c:layout>
      <c:areaChart>
        <c:grouping val="stacked"/>
        <c:varyColors val="0"/>
        <c:ser>
          <c:idx val="1"/>
          <c:order val="2"/>
          <c:tx>
            <c:strRef>
              <c:f>Chartdata!$B$11</c:f>
              <c:strCache>
                <c:ptCount val="1"/>
                <c:pt idx="0">
                  <c:v>Shade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Chartdata!$C$11:$G$11</c:f>
              <c:numCache>
                <c:ptCount val="5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</c:numCache>
            </c:numRef>
          </c:val>
        </c:ser>
        <c:axId val="50602221"/>
        <c:axId val="52766806"/>
      </c:areaChart>
      <c:lineChart>
        <c:grouping val="standard"/>
        <c:varyColors val="0"/>
        <c:ser>
          <c:idx val="6"/>
          <c:order val="0"/>
          <c:tx>
            <c:strRef>
              <c:f>Chartdata!$B$9</c:f>
              <c:strCache>
                <c:ptCount val="1"/>
                <c:pt idx="0">
                  <c:v>30 % baseline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30 % 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depreciation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Chartdata!$C$9:$M$9</c:f>
              <c:numCache>
                <c:ptCount val="11"/>
                <c:pt idx="0">
                  <c:v>4.314859534503879</c:v>
                </c:pt>
                <c:pt idx="1">
                  <c:v>3.4481060927535223</c:v>
                </c:pt>
                <c:pt idx="2">
                  <c:v>4.122122200101253</c:v>
                </c:pt>
                <c:pt idx="3">
                  <c:v>3.533196087813501</c:v>
                </c:pt>
                <c:pt idx="4">
                  <c:v>2.6753682908552867</c:v>
                </c:pt>
                <c:pt idx="5">
                  <c:v>2.514588096821696</c:v>
                </c:pt>
                <c:pt idx="6">
                  <c:v>3.257152799669518</c:v>
                </c:pt>
                <c:pt idx="7">
                  <c:v>3.1047008779995235</c:v>
                </c:pt>
                <c:pt idx="8">
                  <c:v>2.9311007203896717</c:v>
                </c:pt>
                <c:pt idx="9">
                  <c:v>2.7767192511712087</c:v>
                </c:pt>
                <c:pt idx="10">
                  <c:v>2.595834036504279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Chartdata!$B$10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Chartdata!$C$10:$M$10</c:f>
              <c:numCache>
                <c:ptCount val="11"/>
                <c:pt idx="0">
                  <c:v>4.314859534503879</c:v>
                </c:pt>
                <c:pt idx="1">
                  <c:v>3.4481060927535223</c:v>
                </c:pt>
                <c:pt idx="2">
                  <c:v>4.122122200101253</c:v>
                </c:pt>
                <c:pt idx="3">
                  <c:v>3.533196087813501</c:v>
                </c:pt>
                <c:pt idx="4">
                  <c:v>2.6753682908552867</c:v>
                </c:pt>
                <c:pt idx="5">
                  <c:v>2.456394533865412</c:v>
                </c:pt>
                <c:pt idx="6">
                  <c:v>2.317377196639941</c:v>
                </c:pt>
                <c:pt idx="7">
                  <c:v>2.181349788458221</c:v>
                </c:pt>
                <c:pt idx="8">
                  <c:v>2.03850616806054</c:v>
                </c:pt>
                <c:pt idx="9">
                  <c:v>1.9113949499584706</c:v>
                </c:pt>
                <c:pt idx="10">
                  <c:v>1.7710164824675605</c:v>
                </c:pt>
              </c:numCache>
            </c:numRef>
          </c:val>
          <c:smooth val="0"/>
        </c:ser>
        <c:axId val="50602221"/>
        <c:axId val="52766806"/>
      </c:lineChart>
      <c:catAx>
        <c:axId val="50602221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66806"/>
        <c:crossesAt val="30"/>
        <c:auto val="0"/>
        <c:lblOffset val="100"/>
        <c:tickLblSkip val="2"/>
        <c:tickMarkSkip val="2"/>
        <c:noMultiLvlLbl val="0"/>
      </c:catAx>
      <c:valAx>
        <c:axId val="52766806"/>
        <c:scaling>
          <c:orientation val="minMax"/>
          <c:max val="55"/>
          <c:min val="3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222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Growth shock (in percent per year)</a:t>
            </a:r>
          </a:p>
        </c:rich>
      </c:tx>
      <c:layout>
        <c:manualLayout>
          <c:xMode val="factor"/>
          <c:yMode val="factor"/>
          <c:x val="0.014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685"/>
          <c:w val="0.93225"/>
          <c:h val="0.9275"/>
        </c:manualLayout>
      </c:layout>
      <c:areaChart>
        <c:grouping val="stacked"/>
        <c:varyColors val="0"/>
        <c:ser>
          <c:idx val="1"/>
          <c:order val="2"/>
          <c:tx>
            <c:strRef>
              <c:f>Chartdata!$B$11</c:f>
              <c:strCache>
                <c:ptCount val="1"/>
                <c:pt idx="0">
                  <c:v>Shade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Chartdata!$C$11:$G$11</c:f>
              <c:numCache>
                <c:ptCount val="5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</c:numCache>
            </c:numRef>
          </c:val>
        </c:ser>
        <c:axId val="5139207"/>
        <c:axId val="46252864"/>
      </c:areaChart>
      <c:lineChart>
        <c:grouping val="standard"/>
        <c:varyColors val="0"/>
        <c:ser>
          <c:idx val="3"/>
          <c:order val="0"/>
          <c:tx>
            <c:strRef>
              <c:f>Chartdata!$B$6</c:f>
              <c:strCache>
                <c:ptCount val="1"/>
                <c:pt idx="0">
                  <c:v>Growth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Growth shock 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Chartdata!$C$6:$M$6</c:f>
              <c:numCache>
                <c:ptCount val="11"/>
                <c:pt idx="0">
                  <c:v>4.314859534503879</c:v>
                </c:pt>
                <c:pt idx="1">
                  <c:v>3.4481060927535223</c:v>
                </c:pt>
                <c:pt idx="2">
                  <c:v>4.122122200101253</c:v>
                </c:pt>
                <c:pt idx="3">
                  <c:v>3.533196087813501</c:v>
                </c:pt>
                <c:pt idx="4">
                  <c:v>2.6753682908552867</c:v>
                </c:pt>
                <c:pt idx="5">
                  <c:v>2.514588096821696</c:v>
                </c:pt>
                <c:pt idx="6">
                  <c:v>2.6338914644185203</c:v>
                </c:pt>
                <c:pt idx="7">
                  <c:v>2.871434140579456</c:v>
                </c:pt>
                <c:pt idx="8">
                  <c:v>3.1980787459086373</c:v>
                </c:pt>
                <c:pt idx="9">
                  <c:v>3.64539739102818</c:v>
                </c:pt>
                <c:pt idx="10">
                  <c:v>4.2848020772661375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Chartdata!$B$10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Chartdata!$C$2:$M$2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Chartdata!$C$10:$M$10</c:f>
              <c:numCache>
                <c:ptCount val="11"/>
                <c:pt idx="0">
                  <c:v>4.314859534503879</c:v>
                </c:pt>
                <c:pt idx="1">
                  <c:v>3.4481060927535223</c:v>
                </c:pt>
                <c:pt idx="2">
                  <c:v>4.122122200101253</c:v>
                </c:pt>
                <c:pt idx="3">
                  <c:v>3.533196087813501</c:v>
                </c:pt>
                <c:pt idx="4">
                  <c:v>2.6753682908552867</c:v>
                </c:pt>
                <c:pt idx="5">
                  <c:v>2.456394533865412</c:v>
                </c:pt>
                <c:pt idx="6">
                  <c:v>2.317377196639941</c:v>
                </c:pt>
                <c:pt idx="7">
                  <c:v>2.181349788458221</c:v>
                </c:pt>
                <c:pt idx="8">
                  <c:v>2.03850616806054</c:v>
                </c:pt>
                <c:pt idx="9">
                  <c:v>1.9113949499584706</c:v>
                </c:pt>
                <c:pt idx="10">
                  <c:v>1.7710164824675605</c:v>
                </c:pt>
              </c:numCache>
            </c:numRef>
          </c:val>
          <c:smooth val="0"/>
        </c:ser>
        <c:axId val="5139207"/>
        <c:axId val="46252864"/>
      </c:lineChart>
      <c:catAx>
        <c:axId val="5139207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52864"/>
        <c:crossesAt val="30"/>
        <c:auto val="0"/>
        <c:lblOffset val="100"/>
        <c:tickLblSkip val="2"/>
        <c:tickMarkSkip val="2"/>
        <c:noMultiLvlLbl val="0"/>
      </c:catAx>
      <c:valAx>
        <c:axId val="46252864"/>
        <c:scaling>
          <c:orientation val="minMax"/>
          <c:max val="55"/>
          <c:min val="3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920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12</xdr:row>
      <xdr:rowOff>9525</xdr:rowOff>
    </xdr:from>
    <xdr:to>
      <xdr:col>93</xdr:col>
      <xdr:colOff>19050</xdr:colOff>
      <xdr:row>77</xdr:row>
      <xdr:rowOff>28575</xdr:rowOff>
    </xdr:to>
    <xdr:graphicFrame>
      <xdr:nvGraphicFramePr>
        <xdr:cNvPr id="1" name="Chart 4"/>
        <xdr:cNvGraphicFramePr/>
      </xdr:nvGraphicFramePr>
      <xdr:xfrm>
        <a:off x="2705100" y="466725"/>
        <a:ext cx="26289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94</xdr:col>
      <xdr:colOff>19050</xdr:colOff>
      <xdr:row>10</xdr:row>
      <xdr:rowOff>19050</xdr:rowOff>
    </xdr:to>
    <xdr:sp>
      <xdr:nvSpPr>
        <xdr:cNvPr id="2" name="Header"/>
        <xdr:cNvSpPr txBox="1">
          <a:spLocks noChangeArrowheads="1"/>
        </xdr:cNvSpPr>
      </xdr:nvSpPr>
      <xdr:spPr>
        <a:xfrm>
          <a:off x="0" y="0"/>
          <a:ext cx="5391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1. Country: External Debt Sustainability: Bound Tests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 2/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(External debt in percent of GDP)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absolute">
    <xdr:from>
      <xdr:col>3</xdr:col>
      <xdr:colOff>28575</xdr:colOff>
      <xdr:row>211</xdr:row>
      <xdr:rowOff>19050</xdr:rowOff>
    </xdr:from>
    <xdr:to>
      <xdr:col>93</xdr:col>
      <xdr:colOff>28575</xdr:colOff>
      <xdr:row>247</xdr:row>
      <xdr:rowOff>19050</xdr:rowOff>
    </xdr:to>
    <xdr:sp>
      <xdr:nvSpPr>
        <xdr:cNvPr id="3" name="Footer"/>
        <xdr:cNvSpPr txBox="1">
          <a:spLocks noChangeArrowheads="1"/>
        </xdr:cNvSpPr>
      </xdr:nvSpPr>
      <xdr:spPr>
        <a:xfrm>
          <a:off x="200025" y="8058150"/>
          <a:ext cx="5143500" cy="137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International Monetary Fund, Country desk data, and staff estimates.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 Shaded areas represent actual data. Individual shocks are permanent one-half standard deviation shocks. Figures in the boxes represent average projections for the respective variables in the baseline and scenario being presented. Ten-year historical average for the variable is also shown.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2/ For historical scenarios, the historical averages are calculated over the ten-year period, and the information  is used to project debt dynamics five years ahead.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3/ Permanent 1/4 standard deviation shocks applied to real interest rate, growth rate, and current account balance.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4/ One-time real depreciation of 30 percent occurs in 2010.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47625</xdr:colOff>
      <xdr:row>12</xdr:row>
      <xdr:rowOff>0</xdr:rowOff>
    </xdr:from>
    <xdr:to>
      <xdr:col>46</xdr:col>
      <xdr:colOff>19050</xdr:colOff>
      <xdr:row>77</xdr:row>
      <xdr:rowOff>19050</xdr:rowOff>
    </xdr:to>
    <xdr:graphicFrame>
      <xdr:nvGraphicFramePr>
        <xdr:cNvPr id="4" name="Chart 3"/>
        <xdr:cNvGraphicFramePr/>
      </xdr:nvGraphicFramePr>
      <xdr:xfrm>
        <a:off x="47625" y="457200"/>
        <a:ext cx="26003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78</xdr:row>
      <xdr:rowOff>0</xdr:rowOff>
    </xdr:from>
    <xdr:to>
      <xdr:col>93</xdr:col>
      <xdr:colOff>9525</xdr:colOff>
      <xdr:row>143</xdr:row>
      <xdr:rowOff>19050</xdr:rowOff>
    </xdr:to>
    <xdr:graphicFrame>
      <xdr:nvGraphicFramePr>
        <xdr:cNvPr id="5" name="Chart 6"/>
        <xdr:cNvGraphicFramePr/>
      </xdr:nvGraphicFramePr>
      <xdr:xfrm>
        <a:off x="2686050" y="2971800"/>
        <a:ext cx="26384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47</xdr:col>
      <xdr:colOff>9525</xdr:colOff>
      <xdr:row>209</xdr:row>
      <xdr:rowOff>19050</xdr:rowOff>
    </xdr:to>
    <xdr:graphicFrame>
      <xdr:nvGraphicFramePr>
        <xdr:cNvPr id="6" name="Chart 7"/>
        <xdr:cNvGraphicFramePr/>
      </xdr:nvGraphicFramePr>
      <xdr:xfrm>
        <a:off x="0" y="5486400"/>
        <a:ext cx="2695575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47</xdr:col>
      <xdr:colOff>0</xdr:colOff>
      <xdr:row>144</xdr:row>
      <xdr:rowOff>0</xdr:rowOff>
    </xdr:from>
    <xdr:to>
      <xdr:col>93</xdr:col>
      <xdr:colOff>9525</xdr:colOff>
      <xdr:row>209</xdr:row>
      <xdr:rowOff>19050</xdr:rowOff>
    </xdr:to>
    <xdr:graphicFrame>
      <xdr:nvGraphicFramePr>
        <xdr:cNvPr id="7" name="Chart 8"/>
        <xdr:cNvGraphicFramePr/>
      </xdr:nvGraphicFramePr>
      <xdr:xfrm>
        <a:off x="2686050" y="5486400"/>
        <a:ext cx="2638425" cy="249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43</xdr:row>
      <xdr:rowOff>9525</xdr:rowOff>
    </xdr:from>
    <xdr:to>
      <xdr:col>20</xdr:col>
      <xdr:colOff>47625</xdr:colOff>
      <xdr:row>45</xdr:row>
      <xdr:rowOff>19050</xdr:rowOff>
    </xdr:to>
    <xdr:sp>
      <xdr:nvSpPr>
        <xdr:cNvPr id="8" name="Line 10"/>
        <xdr:cNvSpPr>
          <a:spLocks/>
        </xdr:cNvSpPr>
      </xdr:nvSpPr>
      <xdr:spPr>
        <a:xfrm flipH="1">
          <a:off x="1028700" y="1647825"/>
          <a:ext cx="1619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21</xdr:col>
      <xdr:colOff>19050</xdr:colOff>
      <xdr:row>35</xdr:row>
      <xdr:rowOff>0</xdr:rowOff>
    </xdr:to>
    <xdr:sp>
      <xdr:nvSpPr>
        <xdr:cNvPr id="9" name="Line 13"/>
        <xdr:cNvSpPr>
          <a:spLocks/>
        </xdr:cNvSpPr>
      </xdr:nvSpPr>
      <xdr:spPr>
        <a:xfrm flipH="1">
          <a:off x="742950" y="1143000"/>
          <a:ext cx="4762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38100</xdr:colOff>
      <xdr:row>43</xdr:row>
      <xdr:rowOff>9525</xdr:rowOff>
    </xdr:from>
    <xdr:to>
      <xdr:col>32</xdr:col>
      <xdr:colOff>47625</xdr:colOff>
      <xdr:row>58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1866900" y="1647825"/>
          <a:ext cx="9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21</xdr:col>
      <xdr:colOff>38100</xdr:colOff>
      <xdr:row>23</xdr:row>
      <xdr:rowOff>0</xdr:rowOff>
    </xdr:from>
    <xdr:to>
      <xdr:col>41</xdr:col>
      <xdr:colOff>9525</xdr:colOff>
      <xdr:row>34</xdr:row>
      <xdr:rowOff>9525</xdr:rowOff>
    </xdr:to>
    <xdr:sp>
      <xdr:nvSpPr>
        <xdr:cNvPr id="11" name="Text Box 19"/>
        <xdr:cNvSpPr txBox="1">
          <a:spLocks noChangeArrowheads="1"/>
        </xdr:cNvSpPr>
      </xdr:nvSpPr>
      <xdr:spPr>
        <a:xfrm>
          <a:off x="1238250" y="876300"/>
          <a:ext cx="11144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Gross financing need under baseline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(right scale)</a:t>
          </a:r>
        </a:p>
      </xdr:txBody>
    </xdr:sp>
    <xdr:clientData/>
  </xdr:twoCellAnchor>
  <xdr:twoCellAnchor>
    <xdr:from>
      <xdr:col>52</xdr:col>
      <xdr:colOff>19050</xdr:colOff>
      <xdr:row>77</xdr:row>
      <xdr:rowOff>19050</xdr:rowOff>
    </xdr:from>
    <xdr:to>
      <xdr:col>91</xdr:col>
      <xdr:colOff>0</xdr:colOff>
      <xdr:row>86</xdr:row>
      <xdr:rowOff>0</xdr:rowOff>
    </xdr:to>
    <xdr:sp>
      <xdr:nvSpPr>
        <xdr:cNvPr id="12" name="Text Box 21"/>
        <xdr:cNvSpPr txBox="1">
          <a:spLocks noChangeArrowheads="1"/>
        </xdr:cNvSpPr>
      </xdr:nvSpPr>
      <xdr:spPr>
        <a:xfrm>
          <a:off x="2990850" y="2952750"/>
          <a:ext cx="22098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Non-interest current account shock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percent of GDP)</a:t>
          </a:r>
        </a:p>
      </xdr:txBody>
    </xdr:sp>
    <xdr:clientData/>
  </xdr:twoCellAnchor>
  <xdr:twoCellAnchor>
    <xdr:from>
      <xdr:col>39</xdr:col>
      <xdr:colOff>38100</xdr:colOff>
      <xdr:row>56</xdr:row>
      <xdr:rowOff>0</xdr:rowOff>
    </xdr:from>
    <xdr:to>
      <xdr:col>40</xdr:col>
      <xdr:colOff>47625</xdr:colOff>
      <xdr:row>59</xdr:row>
      <xdr:rowOff>19050</xdr:rowOff>
    </xdr:to>
    <xdr:sp>
      <xdr:nvSpPr>
        <xdr:cNvPr id="13" name="Line 22"/>
        <xdr:cNvSpPr>
          <a:spLocks/>
        </xdr:cNvSpPr>
      </xdr:nvSpPr>
      <xdr:spPr>
        <a:xfrm>
          <a:off x="2266950" y="2133600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9525</xdr:colOff>
      <xdr:row>63</xdr:row>
      <xdr:rowOff>19050</xdr:rowOff>
    </xdr:from>
    <xdr:to>
      <xdr:col>40</xdr:col>
      <xdr:colOff>9525</xdr:colOff>
      <xdr:row>67</xdr:row>
      <xdr:rowOff>0</xdr:rowOff>
    </xdr:to>
    <xdr:sp>
      <xdr:nvSpPr>
        <xdr:cNvPr id="14" name="Line 23"/>
        <xdr:cNvSpPr>
          <a:spLocks/>
        </xdr:cNvSpPr>
      </xdr:nvSpPr>
      <xdr:spPr>
        <a:xfrm flipV="1">
          <a:off x="2295525" y="2419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0</xdr:rowOff>
    </xdr:from>
    <xdr:to>
      <xdr:col>48</xdr:col>
      <xdr:colOff>38100</xdr:colOff>
      <xdr:row>143</xdr:row>
      <xdr:rowOff>19050</xdr:rowOff>
    </xdr:to>
    <xdr:graphicFrame>
      <xdr:nvGraphicFramePr>
        <xdr:cNvPr id="15" name="Chart 5"/>
        <xdr:cNvGraphicFramePr/>
      </xdr:nvGraphicFramePr>
      <xdr:xfrm>
        <a:off x="19050" y="3009900"/>
        <a:ext cx="276225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72</xdr:col>
      <xdr:colOff>28575</xdr:colOff>
      <xdr:row>22</xdr:row>
      <xdr:rowOff>19050</xdr:rowOff>
    </xdr:from>
    <xdr:to>
      <xdr:col>90</xdr:col>
      <xdr:colOff>0</xdr:colOff>
      <xdr:row>37</xdr:row>
      <xdr:rowOff>19050</xdr:rowOff>
    </xdr:to>
    <xdr:grpSp>
      <xdr:nvGrpSpPr>
        <xdr:cNvPr id="16" name="Group 55"/>
        <xdr:cNvGrpSpPr>
          <a:grpSpLocks/>
        </xdr:cNvGrpSpPr>
      </xdr:nvGrpSpPr>
      <xdr:grpSpPr>
        <a:xfrm>
          <a:off x="4143375" y="857250"/>
          <a:ext cx="1000125" cy="571500"/>
          <a:chOff x="436" y="86"/>
          <a:chExt cx="105" cy="60"/>
        </a:xfrm>
        <a:solidFill>
          <a:srgbClr val="FFFFFF"/>
        </a:solidFill>
      </xdr:grpSpPr>
      <xdr:sp>
        <xdr:nvSpPr>
          <xdr:cNvPr id="17" name="Text Box 24"/>
          <xdr:cNvSpPr txBox="1">
            <a:spLocks noChangeArrowheads="1"/>
          </xdr:cNvSpPr>
        </xdr:nvSpPr>
        <xdr:spPr>
          <a:xfrm>
            <a:off x="442" y="89"/>
            <a:ext cx="64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Baseline:</a:t>
            </a:r>
          </a:p>
        </xdr:txBody>
      </xdr:sp>
      <xdr:sp>
        <xdr:nvSpPr>
          <xdr:cNvPr id="18" name="Text Box 25"/>
          <xdr:cNvSpPr txBox="1">
            <a:spLocks noChangeArrowheads="1"/>
          </xdr:cNvSpPr>
        </xdr:nvSpPr>
        <xdr:spPr>
          <a:xfrm>
            <a:off x="441" y="108"/>
            <a:ext cx="6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Scenario:</a:t>
            </a:r>
          </a:p>
        </xdr:txBody>
      </xdr:sp>
      <xdr:sp>
        <xdr:nvSpPr>
          <xdr:cNvPr id="19" name="Text Box 26"/>
          <xdr:cNvSpPr txBox="1">
            <a:spLocks noChangeArrowheads="1"/>
          </xdr:cNvSpPr>
        </xdr:nvSpPr>
        <xdr:spPr>
          <a:xfrm>
            <a:off x="441" y="127"/>
            <a:ext cx="6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Historical:</a:t>
            </a:r>
          </a:p>
        </xdr:txBody>
      </xdr:sp>
      <xdr:sp textlink="Chartdata!O5">
        <xdr:nvSpPr>
          <xdr:cNvPr id="20" name="Text Box 27"/>
          <xdr:cNvSpPr txBox="1">
            <a:spLocks noChangeArrowheads="1"/>
          </xdr:cNvSpPr>
        </xdr:nvSpPr>
        <xdr:spPr>
          <a:xfrm>
            <a:off x="508" y="90"/>
            <a:ext cx="24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fld id="{4b08ee36-4163-40fb-8c1e-df695773b15f}" type="TxLink">
              <a:rPr lang="en-US" cap="none" sz="800" b="0" i="0" u="none" baseline="0">
                <a:solidFill>
                  <a:srgbClr val="000000"/>
                </a:solidFill>
              </a:rPr>
              <a:t>2.7</a:t>
            </a:fld>
          </a:p>
        </xdr:txBody>
      </xdr:sp>
      <xdr:sp textlink="Chartdata!P5">
        <xdr:nvSpPr>
          <xdr:cNvPr id="21" name="Text Box 28"/>
          <xdr:cNvSpPr txBox="1">
            <a:spLocks noChangeArrowheads="1"/>
          </xdr:cNvSpPr>
        </xdr:nvSpPr>
        <xdr:spPr>
          <a:xfrm>
            <a:off x="508" y="107"/>
            <a:ext cx="33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fld id="{309354e9-0a6b-447f-9a89-2f7c5cfc40a6}" type="TxLink">
              <a:rPr lang="en-US" cap="none" sz="800" b="0" i="0" u="none" baseline="0">
                <a:solidFill>
                  <a:srgbClr val="000000"/>
                </a:solidFill>
              </a:rPr>
              <a:t>4.7</a:t>
            </a:fld>
          </a:p>
        </xdr:txBody>
      </xdr:sp>
      <xdr:sp>
        <xdr:nvSpPr>
          <xdr:cNvPr id="22" name="Rectangle 31"/>
          <xdr:cNvSpPr>
            <a:spLocks/>
          </xdr:cNvSpPr>
        </xdr:nvSpPr>
        <xdr:spPr>
          <a:xfrm>
            <a:off x="436" y="86"/>
            <a:ext cx="98" cy="6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 textlink="Chartdata!Q5">
        <xdr:nvSpPr>
          <xdr:cNvPr id="23" name="Text Box 54"/>
          <xdr:cNvSpPr txBox="1">
            <a:spLocks noChangeArrowheads="1"/>
          </xdr:cNvSpPr>
        </xdr:nvSpPr>
        <xdr:spPr>
          <a:xfrm>
            <a:off x="508" y="126"/>
            <a:ext cx="23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fld id="{eb58f778-4fa2-4e15-ba5c-717b5acabe0c}" type="TxLink">
              <a:rPr lang="en-US" cap="none" sz="800" b="0" i="0" u="none" baseline="0">
                <a:solidFill>
                  <a:srgbClr val="000000"/>
                </a:solidFill>
              </a:rPr>
              <a:t>6.3</a:t>
            </a:fld>
          </a:p>
        </xdr:txBody>
      </xdr:sp>
    </xdr:grpSp>
    <xdr:clientData/>
  </xdr:twoCellAnchor>
  <xdr:twoCellAnchor>
    <xdr:from>
      <xdr:col>24</xdr:col>
      <xdr:colOff>28575</xdr:colOff>
      <xdr:row>89</xdr:row>
      <xdr:rowOff>0</xdr:rowOff>
    </xdr:from>
    <xdr:to>
      <xdr:col>42</xdr:col>
      <xdr:colOff>0</xdr:colOff>
      <xdr:row>104</xdr:row>
      <xdr:rowOff>0</xdr:rowOff>
    </xdr:to>
    <xdr:grpSp>
      <xdr:nvGrpSpPr>
        <xdr:cNvPr id="24" name="Group 81"/>
        <xdr:cNvGrpSpPr>
          <a:grpSpLocks/>
        </xdr:cNvGrpSpPr>
      </xdr:nvGrpSpPr>
      <xdr:grpSpPr>
        <a:xfrm>
          <a:off x="1400175" y="3390900"/>
          <a:ext cx="1000125" cy="571500"/>
          <a:chOff x="147" y="356"/>
          <a:chExt cx="105" cy="60"/>
        </a:xfrm>
        <a:solidFill>
          <a:srgbClr val="FFFFFF"/>
        </a:solidFill>
      </xdr:grpSpPr>
      <xdr:sp>
        <xdr:nvSpPr>
          <xdr:cNvPr id="25" name="Text Box 57"/>
          <xdr:cNvSpPr txBox="1">
            <a:spLocks noChangeArrowheads="1"/>
          </xdr:cNvSpPr>
        </xdr:nvSpPr>
        <xdr:spPr>
          <a:xfrm>
            <a:off x="153" y="359"/>
            <a:ext cx="64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Baseline:</a:t>
            </a:r>
          </a:p>
        </xdr:txBody>
      </xdr:sp>
      <xdr:sp>
        <xdr:nvSpPr>
          <xdr:cNvPr id="26" name="Text Box 58"/>
          <xdr:cNvSpPr txBox="1">
            <a:spLocks noChangeArrowheads="1"/>
          </xdr:cNvSpPr>
        </xdr:nvSpPr>
        <xdr:spPr>
          <a:xfrm>
            <a:off x="152" y="378"/>
            <a:ext cx="6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Scenario:</a:t>
            </a:r>
          </a:p>
        </xdr:txBody>
      </xdr:sp>
      <xdr:sp>
        <xdr:nvSpPr>
          <xdr:cNvPr id="27" name="Text Box 59"/>
          <xdr:cNvSpPr txBox="1">
            <a:spLocks noChangeArrowheads="1"/>
          </xdr:cNvSpPr>
        </xdr:nvSpPr>
        <xdr:spPr>
          <a:xfrm>
            <a:off x="152" y="397"/>
            <a:ext cx="6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Historical:</a:t>
            </a:r>
          </a:p>
        </xdr:txBody>
      </xdr:sp>
      <xdr:sp textlink="Chartdata!O6">
        <xdr:nvSpPr>
          <xdr:cNvPr id="28" name="Text Box 60"/>
          <xdr:cNvSpPr txBox="1">
            <a:spLocks noChangeArrowheads="1"/>
          </xdr:cNvSpPr>
        </xdr:nvSpPr>
        <xdr:spPr>
          <a:xfrm>
            <a:off x="219" y="360"/>
            <a:ext cx="24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fld id="{c3b3cf69-561f-4c31-a29d-57914d335c94}" type="TxLink">
              <a:rPr lang="en-US" cap="none" sz="800" b="0" i="0" u="none" baseline="0">
                <a:solidFill>
                  <a:srgbClr val="000000"/>
                </a:solidFill>
              </a:rPr>
              <a:t>3.8</a:t>
            </a:fld>
          </a:p>
        </xdr:txBody>
      </xdr:sp>
      <xdr:sp textlink="Chartdata!P6">
        <xdr:nvSpPr>
          <xdr:cNvPr id="29" name="Text Box 61"/>
          <xdr:cNvSpPr txBox="1">
            <a:spLocks noChangeArrowheads="1"/>
          </xdr:cNvSpPr>
        </xdr:nvSpPr>
        <xdr:spPr>
          <a:xfrm>
            <a:off x="219" y="377"/>
            <a:ext cx="33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fld id="{16fa812c-84a6-4afc-aacf-dea21a5be0fe}" type="TxLink">
              <a:rPr lang="en-US" cap="none" sz="800" b="0" i="0" u="none" baseline="0">
                <a:solidFill>
                  <a:srgbClr val="000000"/>
                </a:solidFill>
              </a:rPr>
              <a:t>3.0</a:t>
            </a:fld>
          </a:p>
        </xdr:txBody>
      </xdr:sp>
      <xdr:sp>
        <xdr:nvSpPr>
          <xdr:cNvPr id="30" name="Rectangle 62"/>
          <xdr:cNvSpPr>
            <a:spLocks/>
          </xdr:cNvSpPr>
        </xdr:nvSpPr>
        <xdr:spPr>
          <a:xfrm>
            <a:off x="147" y="356"/>
            <a:ext cx="98" cy="6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 textlink="Chartdata!Q6">
        <xdr:nvSpPr>
          <xdr:cNvPr id="31" name="Text Box 63"/>
          <xdr:cNvSpPr txBox="1">
            <a:spLocks noChangeArrowheads="1"/>
          </xdr:cNvSpPr>
        </xdr:nvSpPr>
        <xdr:spPr>
          <a:xfrm>
            <a:off x="219" y="396"/>
            <a:ext cx="23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fld id="{8208e43b-dc34-4069-a912-85a231ba02e9}" type="TxLink">
              <a:rPr lang="en-US" cap="none" sz="800" b="0" i="0" u="none" baseline="0">
                <a:solidFill>
                  <a:srgbClr val="000000"/>
                </a:solidFill>
              </a:rPr>
              <a:t>3.7</a:t>
            </a:fld>
          </a:p>
        </xdr:txBody>
      </xdr:sp>
    </xdr:grpSp>
    <xdr:clientData/>
  </xdr:twoCellAnchor>
  <xdr:twoCellAnchor>
    <xdr:from>
      <xdr:col>72</xdr:col>
      <xdr:colOff>9525</xdr:colOff>
      <xdr:row>89</xdr:row>
      <xdr:rowOff>0</xdr:rowOff>
    </xdr:from>
    <xdr:to>
      <xdr:col>89</xdr:col>
      <xdr:colOff>38100</xdr:colOff>
      <xdr:row>104</xdr:row>
      <xdr:rowOff>0</xdr:rowOff>
    </xdr:to>
    <xdr:grpSp>
      <xdr:nvGrpSpPr>
        <xdr:cNvPr id="32" name="Group 80"/>
        <xdr:cNvGrpSpPr>
          <a:grpSpLocks/>
        </xdr:cNvGrpSpPr>
      </xdr:nvGrpSpPr>
      <xdr:grpSpPr>
        <a:xfrm>
          <a:off x="4124325" y="3390900"/>
          <a:ext cx="1000125" cy="571500"/>
          <a:chOff x="433" y="356"/>
          <a:chExt cx="105" cy="60"/>
        </a:xfrm>
        <a:solidFill>
          <a:srgbClr val="FFFFFF"/>
        </a:solidFill>
      </xdr:grpSpPr>
      <xdr:sp>
        <xdr:nvSpPr>
          <xdr:cNvPr id="33" name="Text Box 73"/>
          <xdr:cNvSpPr txBox="1">
            <a:spLocks noChangeArrowheads="1"/>
          </xdr:cNvSpPr>
        </xdr:nvSpPr>
        <xdr:spPr>
          <a:xfrm>
            <a:off x="439" y="359"/>
            <a:ext cx="64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Baseline:</a:t>
            </a:r>
          </a:p>
        </xdr:txBody>
      </xdr:sp>
      <xdr:sp>
        <xdr:nvSpPr>
          <xdr:cNvPr id="34" name="Text Box 74"/>
          <xdr:cNvSpPr txBox="1">
            <a:spLocks noChangeArrowheads="1"/>
          </xdr:cNvSpPr>
        </xdr:nvSpPr>
        <xdr:spPr>
          <a:xfrm>
            <a:off x="438" y="378"/>
            <a:ext cx="6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Scenario:</a:t>
            </a:r>
          </a:p>
        </xdr:txBody>
      </xdr:sp>
      <xdr:sp>
        <xdr:nvSpPr>
          <xdr:cNvPr id="35" name="Text Box 75"/>
          <xdr:cNvSpPr txBox="1">
            <a:spLocks noChangeArrowheads="1"/>
          </xdr:cNvSpPr>
        </xdr:nvSpPr>
        <xdr:spPr>
          <a:xfrm>
            <a:off x="438" y="397"/>
            <a:ext cx="6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Historical:</a:t>
            </a:r>
          </a:p>
        </xdr:txBody>
      </xdr:sp>
      <xdr:sp textlink="Chartdata!O7">
        <xdr:nvSpPr>
          <xdr:cNvPr id="36" name="Text Box 76"/>
          <xdr:cNvSpPr txBox="1">
            <a:spLocks noChangeArrowheads="1"/>
          </xdr:cNvSpPr>
        </xdr:nvSpPr>
        <xdr:spPr>
          <a:xfrm>
            <a:off x="505" y="360"/>
            <a:ext cx="2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fld id="{22605a39-03c6-45d0-b5a9-0e10a33a691a}" type="TxLink">
              <a:rPr lang="en-US" cap="none" sz="800" b="0" i="0" u="none" baseline="0">
                <a:solidFill>
                  <a:srgbClr val="000000"/>
                </a:solidFill>
              </a:rPr>
              <a:t>4.1</a:t>
            </a:fld>
          </a:p>
        </xdr:txBody>
      </xdr:sp>
      <xdr:sp textlink="Chartdata!P7">
        <xdr:nvSpPr>
          <xdr:cNvPr id="37" name="Text Box 77"/>
          <xdr:cNvSpPr txBox="1">
            <a:spLocks noChangeArrowheads="1"/>
          </xdr:cNvSpPr>
        </xdr:nvSpPr>
        <xdr:spPr>
          <a:xfrm>
            <a:off x="505" y="377"/>
            <a:ext cx="33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fld id="{a555ad58-ec99-4801-80bb-841ee38aefcc}" type="TxLink">
              <a:rPr lang="en-US" cap="none" sz="800" b="0" i="0" u="none" baseline="0">
                <a:solidFill>
                  <a:srgbClr val="000000"/>
                </a:solidFill>
              </a:rPr>
              <a:t>0.1</a:t>
            </a:fld>
          </a:p>
        </xdr:txBody>
      </xdr:sp>
      <xdr:sp>
        <xdr:nvSpPr>
          <xdr:cNvPr id="38" name="Rectangle 78"/>
          <xdr:cNvSpPr>
            <a:spLocks/>
          </xdr:cNvSpPr>
        </xdr:nvSpPr>
        <xdr:spPr>
          <a:xfrm>
            <a:off x="433" y="356"/>
            <a:ext cx="101" cy="6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 textlink="Chartdata!Q7">
        <xdr:nvSpPr>
          <xdr:cNvPr id="39" name="Text Box 79"/>
          <xdr:cNvSpPr txBox="1">
            <a:spLocks noChangeArrowheads="1"/>
          </xdr:cNvSpPr>
        </xdr:nvSpPr>
        <xdr:spPr>
          <a:xfrm>
            <a:off x="509" y="396"/>
            <a:ext cx="23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fld id="{ff4dc9e5-7b90-49d6-a270-b0737d2da938}" type="TxLink">
              <a:rPr lang="en-US" cap="none" sz="800" b="0" i="0" u="none" baseline="0">
                <a:solidFill>
                  <a:srgbClr val="000000"/>
                </a:solidFill>
              </a:rPr>
              <a:t>15.3</a:t>
            </a:fld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f.org/external/pubs/ft/weo/2015/01/weodata/index.asp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/>
  </sheetPr>
  <dimension ref="A2:Q207"/>
  <sheetViews>
    <sheetView tabSelected="1" zoomScalePageLayoutView="0" workbookViewId="0" topLeftCell="A1">
      <selection activeCell="R10" sqref="R10"/>
    </sheetView>
  </sheetViews>
  <sheetFormatPr defaultColWidth="9.33203125" defaultRowHeight="12.75"/>
  <cols>
    <col min="1" max="1" width="4.16015625" style="162" customWidth="1"/>
    <col min="2" max="2" width="22" style="162" customWidth="1"/>
    <col min="3" max="14" width="9.33203125" style="162" customWidth="1"/>
    <col min="15" max="15" width="10.66015625" style="162" customWidth="1"/>
    <col min="16" max="16" width="2.83203125" style="162" customWidth="1"/>
    <col min="17" max="17" width="13" style="162" customWidth="1"/>
    <col min="18" max="18" width="19.83203125" style="162" customWidth="1"/>
    <col min="19" max="19" width="21.83203125" style="162" customWidth="1"/>
    <col min="20" max="20" width="17.5" style="162" customWidth="1"/>
    <col min="21" max="21" width="10.33203125" style="162" customWidth="1"/>
    <col min="22" max="22" width="15.83203125" style="162" customWidth="1"/>
    <col min="23" max="23" width="23.5" style="162" customWidth="1"/>
    <col min="24" max="24" width="17.66015625" style="162" customWidth="1"/>
    <col min="25" max="25" width="9.33203125" style="162" customWidth="1"/>
    <col min="26" max="26" width="22.5" style="162" customWidth="1"/>
    <col min="27" max="27" width="17.16015625" style="162" customWidth="1"/>
    <col min="28" max="28" width="9.33203125" style="162" customWidth="1"/>
    <col min="29" max="29" width="22.5" style="162" customWidth="1"/>
    <col min="30" max="30" width="11.5" style="162" customWidth="1"/>
    <col min="31" max="31" width="17.83203125" style="162" customWidth="1"/>
    <col min="32" max="32" width="9.83203125" style="162" customWidth="1"/>
    <col min="33" max="33" width="12.66015625" style="162" customWidth="1"/>
    <col min="34" max="34" width="21.33203125" style="162" customWidth="1"/>
    <col min="35" max="35" width="10.33203125" style="162" customWidth="1"/>
    <col min="36" max="36" width="15.5" style="162" customWidth="1"/>
    <col min="37" max="37" width="17.66015625" style="162" customWidth="1"/>
    <col min="38" max="38" width="20.83203125" style="162" customWidth="1"/>
    <col min="39" max="39" width="16.16015625" style="162" customWidth="1"/>
    <col min="40" max="40" width="14.16015625" style="162" customWidth="1"/>
    <col min="41" max="41" width="16.16015625" style="162" customWidth="1"/>
    <col min="42" max="42" width="18.16015625" style="162" customWidth="1"/>
    <col min="43" max="43" width="17.5" style="162" customWidth="1"/>
    <col min="44" max="44" width="9.5" style="162" customWidth="1"/>
    <col min="45" max="45" width="9.33203125" style="162" customWidth="1"/>
    <col min="46" max="46" width="17.16015625" style="162" customWidth="1"/>
    <col min="47" max="47" width="13.16015625" style="162" customWidth="1"/>
    <col min="48" max="48" width="14.66015625" style="162" customWidth="1"/>
    <col min="49" max="49" width="10.5" style="162" customWidth="1"/>
    <col min="50" max="50" width="9.33203125" style="162" customWidth="1"/>
    <col min="51" max="51" width="18.83203125" style="162" customWidth="1"/>
    <col min="52" max="52" width="9.33203125" style="162" customWidth="1"/>
    <col min="53" max="53" width="15.5" style="162" customWidth="1"/>
    <col min="54" max="54" width="17.16015625" style="162" customWidth="1"/>
    <col min="55" max="55" width="15.5" style="162" customWidth="1"/>
    <col min="56" max="56" width="17.33203125" style="162" customWidth="1"/>
    <col min="57" max="57" width="17.66015625" style="162" customWidth="1"/>
    <col min="58" max="58" width="17.16015625" style="162" customWidth="1"/>
    <col min="59" max="59" width="11" style="162" customWidth="1"/>
    <col min="60" max="60" width="12.16015625" style="162" customWidth="1"/>
    <col min="61" max="61" width="9.5" style="162" customWidth="1"/>
    <col min="62" max="62" width="21.16015625" style="162" customWidth="1"/>
    <col min="63" max="63" width="17.33203125" style="162" customWidth="1"/>
    <col min="64" max="64" width="17" style="162" customWidth="1"/>
    <col min="65" max="65" width="16.5" style="162" customWidth="1"/>
    <col min="66" max="66" width="11.16015625" style="162" customWidth="1"/>
    <col min="67" max="67" width="17.16015625" style="162" customWidth="1"/>
    <col min="68" max="68" width="17.66015625" style="162" customWidth="1"/>
    <col min="69" max="69" width="9.33203125" style="162" customWidth="1"/>
    <col min="70" max="70" width="13.33203125" style="162" customWidth="1"/>
    <col min="71" max="71" width="16.16015625" style="162" customWidth="1"/>
    <col min="72" max="72" width="9.33203125" style="162" customWidth="1"/>
    <col min="73" max="73" width="11" style="162" customWidth="1"/>
    <col min="74" max="74" width="9.33203125" style="162" customWidth="1"/>
    <col min="75" max="75" width="14.83203125" style="162" customWidth="1"/>
    <col min="76" max="76" width="20.16015625" style="162" customWidth="1"/>
    <col min="77" max="77" width="12.83203125" style="162" customWidth="1"/>
    <col min="78" max="78" width="20.16015625" style="162" customWidth="1"/>
    <col min="79" max="79" width="20.33203125" style="162" customWidth="1"/>
    <col min="80" max="80" width="18.66015625" style="162" customWidth="1"/>
    <col min="81" max="81" width="20.16015625" style="162" customWidth="1"/>
    <col min="82" max="82" width="12" style="162" customWidth="1"/>
    <col min="83" max="83" width="17.66015625" style="162" customWidth="1"/>
    <col min="84" max="84" width="22.66015625" style="162" customWidth="1"/>
    <col min="85" max="85" width="11" style="162" customWidth="1"/>
    <col min="86" max="86" width="21.5" style="162" customWidth="1"/>
    <col min="87" max="87" width="10" style="162" customWidth="1"/>
    <col min="88" max="88" width="9.83203125" style="162" customWidth="1"/>
    <col min="89" max="89" width="20.16015625" style="162" customWidth="1"/>
    <col min="90" max="90" width="10.5" style="162" customWidth="1"/>
    <col min="91" max="91" width="22.5" style="162" customWidth="1"/>
    <col min="92" max="92" width="10.83203125" style="162" customWidth="1"/>
    <col min="93" max="93" width="13.16015625" style="162" customWidth="1"/>
    <col min="94" max="94" width="21.66015625" style="162" customWidth="1"/>
    <col min="95" max="16384" width="9.33203125" style="162" customWidth="1"/>
  </cols>
  <sheetData>
    <row r="2" spans="2:17" ht="23.25" customHeight="1">
      <c r="B2" s="177" t="s">
        <v>262</v>
      </c>
      <c r="C2" s="178"/>
      <c r="D2" s="178"/>
      <c r="E2" s="178"/>
      <c r="F2" s="178"/>
      <c r="G2" s="179"/>
      <c r="H2" s="179"/>
      <c r="I2" s="179"/>
      <c r="J2" s="179"/>
      <c r="K2" s="179"/>
      <c r="L2" s="179"/>
      <c r="M2" s="179"/>
      <c r="N2" s="179"/>
      <c r="O2" s="141"/>
      <c r="Q2" s="187" t="s">
        <v>346</v>
      </c>
    </row>
    <row r="3" ht="9" customHeight="1" thickBot="1"/>
    <row r="4" spans="1:15" ht="14.25">
      <c r="A4" s="181">
        <v>1</v>
      </c>
      <c r="B4" s="182" t="s">
        <v>339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1:15" ht="9.75" customHeight="1">
      <c r="A5" s="181"/>
      <c r="B5" s="183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73"/>
    </row>
    <row r="6" spans="1:15" ht="14.25">
      <c r="A6" s="181">
        <v>2</v>
      </c>
      <c r="B6" s="183" t="s">
        <v>337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3"/>
    </row>
    <row r="7" spans="1:15" ht="9.75" customHeight="1">
      <c r="A7" s="181"/>
      <c r="B7" s="184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73"/>
    </row>
    <row r="8" spans="1:15" ht="14.25">
      <c r="A8" s="181">
        <v>3</v>
      </c>
      <c r="B8" s="183" t="s">
        <v>341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73"/>
    </row>
    <row r="9" spans="1:15" ht="14.25">
      <c r="A9" s="181"/>
      <c r="B9" s="185" t="s">
        <v>342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73"/>
    </row>
    <row r="10" spans="1:15" ht="9.75" customHeight="1">
      <c r="A10" s="181"/>
      <c r="B10" s="186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3"/>
    </row>
    <row r="11" spans="1:15" ht="14.25">
      <c r="A11" s="181">
        <v>4</v>
      </c>
      <c r="B11" s="183" t="s">
        <v>338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73"/>
    </row>
    <row r="12" spans="1:15" ht="9.75" customHeight="1">
      <c r="A12" s="181"/>
      <c r="B12" s="183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73"/>
    </row>
    <row r="13" spans="1:15" ht="14.25">
      <c r="A13" s="181">
        <v>5</v>
      </c>
      <c r="B13" s="183" t="s">
        <v>343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73"/>
    </row>
    <row r="14" spans="1:15" ht="14.25">
      <c r="A14" s="181"/>
      <c r="B14" s="183" t="s">
        <v>344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73"/>
    </row>
    <row r="15" spans="1:15" ht="14.25">
      <c r="A15" s="181"/>
      <c r="B15" s="183" t="s">
        <v>345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73"/>
    </row>
    <row r="16" spans="1:15" ht="9.75" customHeight="1">
      <c r="A16" s="181"/>
      <c r="B16" s="183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73"/>
    </row>
    <row r="17" spans="1:15" ht="14.25">
      <c r="A17" s="181">
        <v>6</v>
      </c>
      <c r="B17" s="183" t="s">
        <v>116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73"/>
    </row>
    <row r="18" spans="1:15" ht="3.75" customHeight="1">
      <c r="A18" s="180"/>
      <c r="B18" s="183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73"/>
    </row>
    <row r="19" spans="2:15" ht="14.25">
      <c r="B19" s="183" t="s">
        <v>340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73"/>
    </row>
    <row r="20" spans="2:15" ht="14.25" hidden="1">
      <c r="B20" s="172" t="s">
        <v>138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73"/>
    </row>
    <row r="21" spans="2:15" ht="6" customHeight="1" thickBot="1">
      <c r="B21" s="174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6"/>
    </row>
    <row r="24" spans="2:15" ht="14.25"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35" s="164" customFormat="1" ht="14.25"/>
    <row r="36" s="164" customFormat="1" ht="14.25"/>
    <row r="37" s="164" customFormat="1" ht="14.25"/>
    <row r="38" s="164" customFormat="1" ht="14.25"/>
    <row r="39" s="164" customFormat="1" ht="14.25"/>
    <row r="40" s="164" customFormat="1" ht="14.25"/>
    <row r="41" s="164" customFormat="1" ht="14.25"/>
    <row r="42" s="164" customFormat="1" ht="14.25"/>
    <row r="43" s="164" customFormat="1" ht="14.25"/>
    <row r="44" s="164" customFormat="1" ht="14.25"/>
    <row r="45" s="164" customFormat="1" ht="14.25"/>
    <row r="46" s="164" customFormat="1" ht="14.25"/>
    <row r="47" s="164" customFormat="1" ht="14.25"/>
    <row r="48" s="164" customFormat="1" ht="14.25"/>
    <row r="49" s="164" customFormat="1" ht="14.25"/>
    <row r="50" s="164" customFormat="1" ht="14.25"/>
    <row r="51" s="164" customFormat="1" ht="14.25"/>
    <row r="52" s="164" customFormat="1" ht="14.25"/>
    <row r="53" s="164" customFormat="1" ht="14.25"/>
    <row r="54" s="164" customFormat="1" ht="14.25"/>
    <row r="55" s="164" customFormat="1" ht="14.25"/>
    <row r="56" s="164" customFormat="1" ht="14.25"/>
    <row r="57" s="164" customFormat="1" ht="14.25"/>
    <row r="58" s="164" customFormat="1" ht="14.25"/>
    <row r="59" s="164" customFormat="1" ht="14.25"/>
    <row r="60" s="164" customFormat="1" ht="14.25"/>
    <row r="61" s="164" customFormat="1" ht="14.25"/>
    <row r="62" s="164" customFormat="1" ht="14.25"/>
    <row r="63" spans="2:3" s="164" customFormat="1" ht="14.25">
      <c r="B63" s="164" t="s">
        <v>259</v>
      </c>
      <c r="C63" s="164" t="s">
        <v>260</v>
      </c>
    </row>
    <row r="64" spans="2:3" s="164" customFormat="1" ht="14.25">
      <c r="B64" s="165" t="s">
        <v>266</v>
      </c>
      <c r="C64" s="166">
        <v>914</v>
      </c>
    </row>
    <row r="65" spans="2:3" s="164" customFormat="1" ht="14.25">
      <c r="B65" s="165" t="s">
        <v>186</v>
      </c>
      <c r="C65" s="167">
        <v>612</v>
      </c>
    </row>
    <row r="66" spans="2:3" s="164" customFormat="1" ht="14.25">
      <c r="B66" s="165" t="s">
        <v>267</v>
      </c>
      <c r="C66" s="166">
        <v>614</v>
      </c>
    </row>
    <row r="67" spans="2:3" s="164" customFormat="1" ht="14.25">
      <c r="B67" s="165" t="s">
        <v>187</v>
      </c>
      <c r="C67" s="167">
        <v>311</v>
      </c>
    </row>
    <row r="68" spans="2:3" s="164" customFormat="1" ht="14.25">
      <c r="B68" s="165" t="s">
        <v>188</v>
      </c>
      <c r="C68" s="167">
        <v>213</v>
      </c>
    </row>
    <row r="69" spans="2:3" s="164" customFormat="1" ht="14.25">
      <c r="B69" s="165" t="s">
        <v>263</v>
      </c>
      <c r="C69" s="167">
        <v>911</v>
      </c>
    </row>
    <row r="70" spans="2:3" s="164" customFormat="1" ht="14.25">
      <c r="B70" s="165" t="s">
        <v>268</v>
      </c>
      <c r="C70" s="166">
        <v>193</v>
      </c>
    </row>
    <row r="71" spans="2:3" s="164" customFormat="1" ht="14.25">
      <c r="B71" s="165" t="s">
        <v>269</v>
      </c>
      <c r="C71" s="166">
        <v>122</v>
      </c>
    </row>
    <row r="72" spans="2:3" s="164" customFormat="1" ht="14.25">
      <c r="B72" s="165" t="s">
        <v>270</v>
      </c>
      <c r="C72" s="167">
        <v>912</v>
      </c>
    </row>
    <row r="73" spans="2:3" s="164" customFormat="1" ht="14.25">
      <c r="B73" s="165" t="s">
        <v>189</v>
      </c>
      <c r="C73" s="167">
        <v>313</v>
      </c>
    </row>
    <row r="74" spans="2:3" s="164" customFormat="1" ht="14.25">
      <c r="B74" s="165" t="s">
        <v>190</v>
      </c>
      <c r="C74" s="167">
        <v>419</v>
      </c>
    </row>
    <row r="75" spans="2:3" s="164" customFormat="1" ht="14.25">
      <c r="B75" s="165" t="s">
        <v>191</v>
      </c>
      <c r="C75" s="167">
        <v>316</v>
      </c>
    </row>
    <row r="76" spans="2:3" s="164" customFormat="1" ht="14.25">
      <c r="B76" s="165" t="s">
        <v>192</v>
      </c>
      <c r="C76" s="167">
        <v>913</v>
      </c>
    </row>
    <row r="77" spans="2:3" s="164" customFormat="1" ht="14.25">
      <c r="B77" s="165" t="s">
        <v>271</v>
      </c>
      <c r="C77" s="166">
        <v>124</v>
      </c>
    </row>
    <row r="78" spans="2:3" s="164" customFormat="1" ht="14.25">
      <c r="B78" s="165" t="s">
        <v>193</v>
      </c>
      <c r="C78" s="167">
        <v>339</v>
      </c>
    </row>
    <row r="79" spans="2:3" s="164" customFormat="1" ht="14.25">
      <c r="B79" s="165" t="s">
        <v>272</v>
      </c>
      <c r="C79" s="166">
        <v>514</v>
      </c>
    </row>
    <row r="80" spans="2:3" s="164" customFormat="1" ht="14.25">
      <c r="B80" s="165" t="s">
        <v>273</v>
      </c>
      <c r="C80" s="167">
        <v>218</v>
      </c>
    </row>
    <row r="81" spans="2:3" s="164" customFormat="1" ht="14.25">
      <c r="B81" s="165" t="s">
        <v>194</v>
      </c>
      <c r="C81" s="167">
        <v>963</v>
      </c>
    </row>
    <row r="82" spans="2:3" s="164" customFormat="1" ht="14.25">
      <c r="B82" s="165" t="s">
        <v>195</v>
      </c>
      <c r="C82" s="167">
        <v>616</v>
      </c>
    </row>
    <row r="83" spans="2:3" s="164" customFormat="1" ht="14.25">
      <c r="B83" s="165" t="s">
        <v>196</v>
      </c>
      <c r="C83" s="167">
        <v>223</v>
      </c>
    </row>
    <row r="84" spans="2:3" s="164" customFormat="1" ht="14.25">
      <c r="B84" s="165" t="s">
        <v>197</v>
      </c>
      <c r="C84" s="167">
        <v>516</v>
      </c>
    </row>
    <row r="85" spans="2:3" s="164" customFormat="1" ht="14.25">
      <c r="B85" s="165" t="s">
        <v>198</v>
      </c>
      <c r="C85" s="167">
        <v>918</v>
      </c>
    </row>
    <row r="86" spans="2:3" s="164" customFormat="1" ht="14.25">
      <c r="B86" s="165" t="s">
        <v>274</v>
      </c>
      <c r="C86" s="166">
        <v>622</v>
      </c>
    </row>
    <row r="87" spans="2:3" s="164" customFormat="1" ht="14.25">
      <c r="B87" s="165" t="s">
        <v>275</v>
      </c>
      <c r="C87" s="166">
        <v>156</v>
      </c>
    </row>
    <row r="88" spans="2:3" s="164" customFormat="1" ht="14.25">
      <c r="B88" s="165" t="s">
        <v>276</v>
      </c>
      <c r="C88" s="166">
        <v>624</v>
      </c>
    </row>
    <row r="89" spans="2:3" s="164" customFormat="1" ht="14.25">
      <c r="B89" s="165" t="s">
        <v>199</v>
      </c>
      <c r="C89" s="167">
        <v>228</v>
      </c>
    </row>
    <row r="90" spans="2:3" s="164" customFormat="1" ht="14.25">
      <c r="B90" s="165" t="s">
        <v>200</v>
      </c>
      <c r="C90" s="167">
        <v>924</v>
      </c>
    </row>
    <row r="91" spans="2:3" s="164" customFormat="1" ht="14.25">
      <c r="B91" s="165" t="s">
        <v>201</v>
      </c>
      <c r="C91" s="167">
        <v>233</v>
      </c>
    </row>
    <row r="92" spans="2:3" s="164" customFormat="1" ht="14.25">
      <c r="B92" s="165" t="s">
        <v>277</v>
      </c>
      <c r="C92" s="166">
        <v>634</v>
      </c>
    </row>
    <row r="93" spans="2:3" s="164" customFormat="1" ht="14.25">
      <c r="B93" s="165" t="s">
        <v>202</v>
      </c>
      <c r="C93" s="167">
        <v>238</v>
      </c>
    </row>
    <row r="94" spans="2:3" s="164" customFormat="1" ht="14.25">
      <c r="B94" s="165" t="s">
        <v>278</v>
      </c>
      <c r="C94" s="166">
        <v>662</v>
      </c>
    </row>
    <row r="95" spans="2:3" s="164" customFormat="1" ht="14.25">
      <c r="B95" s="165" t="s">
        <v>203</v>
      </c>
      <c r="C95" s="167">
        <v>960</v>
      </c>
    </row>
    <row r="96" spans="2:3" s="164" customFormat="1" ht="14.25">
      <c r="B96" s="165" t="s">
        <v>279</v>
      </c>
      <c r="C96" s="166">
        <v>423</v>
      </c>
    </row>
    <row r="97" spans="2:3" s="164" customFormat="1" ht="14.25">
      <c r="B97" s="165" t="s">
        <v>280</v>
      </c>
      <c r="C97" s="167">
        <v>935</v>
      </c>
    </row>
    <row r="98" spans="2:3" s="164" customFormat="1" ht="14.25">
      <c r="B98" s="165" t="s">
        <v>281</v>
      </c>
      <c r="C98" s="166">
        <v>128</v>
      </c>
    </row>
    <row r="99" spans="2:3" s="164" customFormat="1" ht="14.25">
      <c r="B99" s="165" t="s">
        <v>282</v>
      </c>
      <c r="C99" s="166">
        <v>611</v>
      </c>
    </row>
    <row r="100" spans="2:3" s="164" customFormat="1" ht="14.25">
      <c r="B100" s="165" t="s">
        <v>283</v>
      </c>
      <c r="C100" s="166">
        <v>321</v>
      </c>
    </row>
    <row r="101" spans="2:3" s="164" customFormat="1" ht="14.25">
      <c r="B101" s="165" t="s">
        <v>204</v>
      </c>
      <c r="C101" s="167">
        <v>243</v>
      </c>
    </row>
    <row r="102" spans="2:3" s="164" customFormat="1" ht="14.25">
      <c r="B102" s="165" t="s">
        <v>205</v>
      </c>
      <c r="C102" s="167">
        <v>248</v>
      </c>
    </row>
    <row r="103" spans="2:3" s="164" customFormat="1" ht="14.25">
      <c r="B103" s="165" t="s">
        <v>206</v>
      </c>
      <c r="C103" s="167">
        <v>469</v>
      </c>
    </row>
    <row r="104" spans="2:3" s="164" customFormat="1" ht="14.25">
      <c r="B104" s="165" t="s">
        <v>207</v>
      </c>
      <c r="C104" s="167">
        <v>253</v>
      </c>
    </row>
    <row r="105" spans="2:3" s="164" customFormat="1" ht="14.25">
      <c r="B105" s="165" t="s">
        <v>208</v>
      </c>
      <c r="C105" s="167">
        <v>642</v>
      </c>
    </row>
    <row r="106" spans="2:3" s="164" customFormat="1" ht="14.25">
      <c r="B106" s="165" t="s">
        <v>209</v>
      </c>
      <c r="C106" s="167">
        <v>939</v>
      </c>
    </row>
    <row r="107" spans="2:3" s="164" customFormat="1" ht="14.25">
      <c r="B107" s="165" t="s">
        <v>210</v>
      </c>
      <c r="C107" s="167">
        <v>819</v>
      </c>
    </row>
    <row r="108" spans="2:3" s="164" customFormat="1" ht="14.25">
      <c r="B108" s="165" t="s">
        <v>284</v>
      </c>
      <c r="C108" s="166">
        <v>172</v>
      </c>
    </row>
    <row r="109" spans="2:3" s="164" customFormat="1" ht="14.25">
      <c r="B109" s="165" t="s">
        <v>285</v>
      </c>
      <c r="C109" s="166">
        <v>132</v>
      </c>
    </row>
    <row r="110" spans="2:3" s="164" customFormat="1" ht="14.25">
      <c r="B110" s="165" t="s">
        <v>211</v>
      </c>
      <c r="C110" s="167">
        <v>646</v>
      </c>
    </row>
    <row r="111" spans="2:3" s="164" customFormat="1" ht="14.25">
      <c r="B111" s="165" t="s">
        <v>286</v>
      </c>
      <c r="C111" s="166">
        <v>915</v>
      </c>
    </row>
    <row r="112" spans="2:3" s="164" customFormat="1" ht="14.25">
      <c r="B112" s="165" t="s">
        <v>265</v>
      </c>
      <c r="C112" s="167">
        <v>134</v>
      </c>
    </row>
    <row r="113" spans="2:3" s="164" customFormat="1" ht="14.25">
      <c r="B113" s="165" t="s">
        <v>287</v>
      </c>
      <c r="C113" s="166">
        <v>174</v>
      </c>
    </row>
    <row r="114" spans="2:3" s="164" customFormat="1" ht="14.25">
      <c r="B114" s="165" t="s">
        <v>288</v>
      </c>
      <c r="C114" s="166">
        <v>328</v>
      </c>
    </row>
    <row r="115" spans="2:3" s="164" customFormat="1" ht="14.25">
      <c r="B115" s="165" t="s">
        <v>212</v>
      </c>
      <c r="C115" s="167">
        <v>258</v>
      </c>
    </row>
    <row r="116" spans="2:3" s="164" customFormat="1" ht="14.25">
      <c r="B116" s="165" t="s">
        <v>289</v>
      </c>
      <c r="C116" s="166">
        <v>336</v>
      </c>
    </row>
    <row r="117" spans="2:3" s="164" customFormat="1" ht="14.25">
      <c r="B117" s="165" t="s">
        <v>290</v>
      </c>
      <c r="C117" s="166">
        <v>268</v>
      </c>
    </row>
    <row r="118" spans="2:3" s="164" customFormat="1" ht="14.25">
      <c r="B118" s="165" t="s">
        <v>291</v>
      </c>
      <c r="C118" s="166">
        <v>532</v>
      </c>
    </row>
    <row r="119" spans="2:3" s="164" customFormat="1" ht="14.25">
      <c r="B119" s="165" t="s">
        <v>213</v>
      </c>
      <c r="C119" s="167">
        <v>944</v>
      </c>
    </row>
    <row r="120" spans="2:3" s="164" customFormat="1" ht="14.25">
      <c r="B120" s="165" t="s">
        <v>292</v>
      </c>
      <c r="C120" s="167">
        <v>176</v>
      </c>
    </row>
    <row r="121" spans="2:3" s="164" customFormat="1" ht="14.25">
      <c r="B121" s="165" t="s">
        <v>214</v>
      </c>
      <c r="C121" s="167">
        <v>534</v>
      </c>
    </row>
    <row r="122" spans="2:3" s="164" customFormat="1" ht="14.25">
      <c r="B122" s="165" t="s">
        <v>215</v>
      </c>
      <c r="C122" s="167">
        <v>536</v>
      </c>
    </row>
    <row r="123" spans="2:3" s="164" customFormat="1" ht="14.25">
      <c r="B123" s="165" t="s">
        <v>216</v>
      </c>
      <c r="C123" s="167">
        <v>429</v>
      </c>
    </row>
    <row r="124" spans="2:3" s="164" customFormat="1" ht="14.25">
      <c r="B124" s="165" t="s">
        <v>217</v>
      </c>
      <c r="C124" s="166">
        <v>433</v>
      </c>
    </row>
    <row r="125" spans="2:3" s="164" customFormat="1" ht="14.25">
      <c r="B125" s="165" t="s">
        <v>293</v>
      </c>
      <c r="C125" s="166">
        <v>178</v>
      </c>
    </row>
    <row r="126" spans="2:3" s="164" customFormat="1" ht="14.25">
      <c r="B126" s="165" t="s">
        <v>294</v>
      </c>
      <c r="C126" s="166">
        <v>436</v>
      </c>
    </row>
    <row r="127" spans="2:3" s="164" customFormat="1" ht="14.25">
      <c r="B127" s="165" t="s">
        <v>295</v>
      </c>
      <c r="C127" s="166">
        <v>136</v>
      </c>
    </row>
    <row r="128" spans="2:3" s="164" customFormat="1" ht="14.25">
      <c r="B128" s="165" t="s">
        <v>296</v>
      </c>
      <c r="C128" s="167">
        <v>343</v>
      </c>
    </row>
    <row r="129" spans="2:3" s="164" customFormat="1" ht="14.25">
      <c r="B129" s="165" t="s">
        <v>297</v>
      </c>
      <c r="C129" s="166">
        <v>158</v>
      </c>
    </row>
    <row r="130" spans="2:3" s="164" customFormat="1" ht="14.25">
      <c r="B130" s="165" t="s">
        <v>218</v>
      </c>
      <c r="C130" s="167">
        <v>439</v>
      </c>
    </row>
    <row r="131" spans="2:3" s="164" customFormat="1" ht="14.25">
      <c r="B131" s="165" t="s">
        <v>219</v>
      </c>
      <c r="C131" s="167">
        <v>916</v>
      </c>
    </row>
    <row r="132" spans="2:3" s="164" customFormat="1" ht="14.25">
      <c r="B132" s="165" t="s">
        <v>298</v>
      </c>
      <c r="C132" s="166">
        <v>826</v>
      </c>
    </row>
    <row r="133" spans="2:3" s="164" customFormat="1" ht="14.25">
      <c r="B133" s="165" t="s">
        <v>299</v>
      </c>
      <c r="C133" s="166">
        <v>542</v>
      </c>
    </row>
    <row r="134" spans="2:3" s="164" customFormat="1" ht="14.25">
      <c r="B134" s="165" t="s">
        <v>300</v>
      </c>
      <c r="C134" s="166">
        <v>967</v>
      </c>
    </row>
    <row r="135" spans="2:3" s="164" customFormat="1" ht="14.25">
      <c r="B135" s="165" t="s">
        <v>220</v>
      </c>
      <c r="C135" s="167">
        <v>443</v>
      </c>
    </row>
    <row r="136" spans="2:3" s="164" customFormat="1" ht="14.25">
      <c r="B136" s="165" t="s">
        <v>221</v>
      </c>
      <c r="C136" s="167">
        <v>941</v>
      </c>
    </row>
    <row r="137" spans="2:3" s="164" customFormat="1" ht="14.25">
      <c r="B137" s="165" t="s">
        <v>222</v>
      </c>
      <c r="C137" s="167">
        <v>446</v>
      </c>
    </row>
    <row r="138" spans="2:3" s="164" customFormat="1" ht="14.25">
      <c r="B138" s="165" t="s">
        <v>301</v>
      </c>
      <c r="C138" s="166">
        <v>666</v>
      </c>
    </row>
    <row r="139" spans="2:3" s="164" customFormat="1" ht="14.25">
      <c r="B139" s="165" t="s">
        <v>223</v>
      </c>
      <c r="C139" s="167">
        <v>672</v>
      </c>
    </row>
    <row r="140" spans="2:3" s="164" customFormat="1" ht="14.25">
      <c r="B140" s="165" t="s">
        <v>224</v>
      </c>
      <c r="C140" s="167">
        <v>946</v>
      </c>
    </row>
    <row r="141" spans="2:3" s="164" customFormat="1" ht="14.25">
      <c r="B141" s="165" t="s">
        <v>302</v>
      </c>
      <c r="C141" s="166">
        <v>137</v>
      </c>
    </row>
    <row r="142" spans="2:3" s="164" customFormat="1" ht="14.25">
      <c r="B142" s="165" t="s">
        <v>225</v>
      </c>
      <c r="C142" s="167">
        <v>962</v>
      </c>
    </row>
    <row r="143" spans="2:3" s="164" customFormat="1" ht="14.25">
      <c r="B143" s="165" t="s">
        <v>226</v>
      </c>
      <c r="C143" s="167">
        <v>548</v>
      </c>
    </row>
    <row r="144" spans="2:3" s="164" customFormat="1" ht="14.25">
      <c r="B144" s="165" t="s">
        <v>303</v>
      </c>
      <c r="C144" s="167">
        <v>556</v>
      </c>
    </row>
    <row r="145" spans="2:3" s="164" customFormat="1" ht="14.25">
      <c r="B145" s="165" t="s">
        <v>304</v>
      </c>
      <c r="C145" s="166">
        <v>181</v>
      </c>
    </row>
    <row r="146" spans="2:3" s="164" customFormat="1" ht="14.25">
      <c r="B146" s="165" t="s">
        <v>227</v>
      </c>
      <c r="C146" s="167">
        <v>684</v>
      </c>
    </row>
    <row r="147" spans="2:3" s="164" customFormat="1" ht="14.25">
      <c r="B147" s="165" t="s">
        <v>228</v>
      </c>
      <c r="C147" s="167">
        <v>273</v>
      </c>
    </row>
    <row r="148" spans="2:3" s="164" customFormat="1" ht="14.25">
      <c r="B148" s="165" t="s">
        <v>305</v>
      </c>
      <c r="C148" s="166">
        <v>921</v>
      </c>
    </row>
    <row r="149" spans="2:3" s="164" customFormat="1" ht="14.25">
      <c r="B149" s="165" t="s">
        <v>306</v>
      </c>
      <c r="C149" s="166">
        <v>948</v>
      </c>
    </row>
    <row r="150" spans="2:3" s="164" customFormat="1" ht="14.25">
      <c r="B150" s="165" t="s">
        <v>307</v>
      </c>
      <c r="C150" s="167">
        <v>943</v>
      </c>
    </row>
    <row r="151" spans="2:3" s="164" customFormat="1" ht="14.25">
      <c r="B151" s="165" t="s">
        <v>229</v>
      </c>
      <c r="C151" s="167">
        <v>686</v>
      </c>
    </row>
    <row r="152" spans="2:3" s="164" customFormat="1" ht="14.25">
      <c r="B152" s="165" t="s">
        <v>230</v>
      </c>
      <c r="C152" s="167">
        <v>728</v>
      </c>
    </row>
    <row r="153" spans="2:3" s="164" customFormat="1" ht="14.25">
      <c r="B153" s="165" t="s">
        <v>308</v>
      </c>
      <c r="C153" s="166">
        <v>138</v>
      </c>
    </row>
    <row r="154" spans="2:3" s="164" customFormat="1" ht="14.25">
      <c r="B154" s="165" t="s">
        <v>309</v>
      </c>
      <c r="C154" s="167">
        <v>196</v>
      </c>
    </row>
    <row r="155" spans="2:3" s="164" customFormat="1" ht="14.25">
      <c r="B155" s="165" t="s">
        <v>310</v>
      </c>
      <c r="C155" s="166">
        <v>278</v>
      </c>
    </row>
    <row r="156" spans="2:3" s="164" customFormat="1" ht="14.25">
      <c r="B156" s="165" t="s">
        <v>311</v>
      </c>
      <c r="C156" s="166">
        <v>694</v>
      </c>
    </row>
    <row r="157" spans="2:3" s="164" customFormat="1" ht="14.25">
      <c r="B157" s="165" t="s">
        <v>312</v>
      </c>
      <c r="C157" s="166">
        <v>142</v>
      </c>
    </row>
    <row r="158" spans="2:3" s="164" customFormat="1" ht="14.25">
      <c r="B158" s="165" t="s">
        <v>231</v>
      </c>
      <c r="C158" s="167">
        <v>449</v>
      </c>
    </row>
    <row r="159" spans="2:3" s="164" customFormat="1" ht="14.25">
      <c r="B159" s="165" t="s">
        <v>232</v>
      </c>
      <c r="C159" s="167">
        <v>564</v>
      </c>
    </row>
    <row r="160" spans="2:3" s="164" customFormat="1" ht="14.25">
      <c r="B160" s="165" t="s">
        <v>233</v>
      </c>
      <c r="C160" s="167">
        <v>283</v>
      </c>
    </row>
    <row r="161" spans="2:3" s="164" customFormat="1" ht="14.25">
      <c r="B161" s="165" t="s">
        <v>313</v>
      </c>
      <c r="C161" s="166">
        <v>853</v>
      </c>
    </row>
    <row r="162" spans="2:3" s="164" customFormat="1" ht="14.25">
      <c r="B162" s="165" t="s">
        <v>234</v>
      </c>
      <c r="C162" s="167">
        <v>288</v>
      </c>
    </row>
    <row r="163" spans="2:3" s="164" customFormat="1" ht="14.25">
      <c r="B163" s="165" t="s">
        <v>235</v>
      </c>
      <c r="C163" s="167">
        <v>293</v>
      </c>
    </row>
    <row r="164" spans="2:3" s="164" customFormat="1" ht="14.25">
      <c r="B164" s="165" t="s">
        <v>236</v>
      </c>
      <c r="C164" s="167">
        <v>566</v>
      </c>
    </row>
    <row r="165" spans="2:3" s="164" customFormat="1" ht="14.25">
      <c r="B165" s="165" t="s">
        <v>237</v>
      </c>
      <c r="C165" s="167">
        <v>964</v>
      </c>
    </row>
    <row r="166" spans="2:3" s="164" customFormat="1" ht="14.25">
      <c r="B166" s="165" t="s">
        <v>314</v>
      </c>
      <c r="C166" s="166">
        <v>182</v>
      </c>
    </row>
    <row r="167" spans="2:3" s="164" customFormat="1" ht="14.25">
      <c r="B167" s="165" t="s">
        <v>238</v>
      </c>
      <c r="C167" s="167">
        <v>453</v>
      </c>
    </row>
    <row r="168" spans="2:3" s="164" customFormat="1" ht="14.25">
      <c r="B168" s="165" t="s">
        <v>239</v>
      </c>
      <c r="C168" s="167">
        <v>968</v>
      </c>
    </row>
    <row r="169" spans="2:3" s="164" customFormat="1" ht="14.25">
      <c r="B169" s="165" t="s">
        <v>315</v>
      </c>
      <c r="C169" s="167">
        <v>922</v>
      </c>
    </row>
    <row r="170" spans="2:3" s="164" customFormat="1" ht="14.25">
      <c r="B170" s="165" t="s">
        <v>316</v>
      </c>
      <c r="C170" s="166">
        <v>862</v>
      </c>
    </row>
    <row r="171" spans="2:3" s="164" customFormat="1" ht="14.25">
      <c r="B171" s="165" t="s">
        <v>317</v>
      </c>
      <c r="C171" s="166">
        <v>716</v>
      </c>
    </row>
    <row r="172" spans="2:3" s="164" customFormat="1" ht="14.25">
      <c r="B172" s="165" t="s">
        <v>240</v>
      </c>
      <c r="C172" s="167">
        <v>456</v>
      </c>
    </row>
    <row r="173" spans="2:3" s="164" customFormat="1" ht="14.25">
      <c r="B173" s="165" t="s">
        <v>318</v>
      </c>
      <c r="C173" s="166">
        <v>722</v>
      </c>
    </row>
    <row r="174" spans="2:3" s="164" customFormat="1" ht="14.25">
      <c r="B174" s="165" t="s">
        <v>241</v>
      </c>
      <c r="C174" s="167">
        <v>942</v>
      </c>
    </row>
    <row r="175" spans="2:3" s="164" customFormat="1" ht="14.25">
      <c r="B175" s="165" t="s">
        <v>242</v>
      </c>
      <c r="C175" s="167">
        <v>718</v>
      </c>
    </row>
    <row r="176" spans="2:3" s="164" customFormat="1" ht="14.25">
      <c r="B176" s="165" t="s">
        <v>319</v>
      </c>
      <c r="C176" s="166">
        <v>576</v>
      </c>
    </row>
    <row r="177" spans="2:3" s="164" customFormat="1" ht="14.25">
      <c r="B177" s="165" t="s">
        <v>243</v>
      </c>
      <c r="C177" s="167">
        <v>936</v>
      </c>
    </row>
    <row r="178" spans="2:3" s="164" customFormat="1" ht="14.25">
      <c r="B178" s="165" t="s">
        <v>320</v>
      </c>
      <c r="C178" s="166">
        <v>961</v>
      </c>
    </row>
    <row r="179" spans="2:3" s="164" customFormat="1" ht="14.25">
      <c r="B179" s="165" t="s">
        <v>244</v>
      </c>
      <c r="C179" s="167">
        <v>199</v>
      </c>
    </row>
    <row r="180" spans="2:3" s="164" customFormat="1" ht="14.25">
      <c r="B180" s="165" t="s">
        <v>321</v>
      </c>
      <c r="C180" s="166">
        <v>184</v>
      </c>
    </row>
    <row r="181" spans="2:3" s="164" customFormat="1" ht="14.25">
      <c r="B181" s="165" t="s">
        <v>322</v>
      </c>
      <c r="C181" s="166">
        <v>524</v>
      </c>
    </row>
    <row r="182" spans="2:3" s="164" customFormat="1" ht="14.25">
      <c r="B182" s="165" t="s">
        <v>245</v>
      </c>
      <c r="C182" s="167">
        <v>361</v>
      </c>
    </row>
    <row r="183" spans="2:3" s="164" customFormat="1" ht="14.25">
      <c r="B183" s="165" t="s">
        <v>323</v>
      </c>
      <c r="C183" s="166">
        <v>362</v>
      </c>
    </row>
    <row r="184" spans="2:3" s="164" customFormat="1" ht="14.25">
      <c r="B184" s="165" t="s">
        <v>324</v>
      </c>
      <c r="C184" s="166">
        <v>364</v>
      </c>
    </row>
    <row r="185" spans="2:3" s="164" customFormat="1" ht="14.25">
      <c r="B185" s="165" t="s">
        <v>325</v>
      </c>
      <c r="C185" s="166">
        <v>732</v>
      </c>
    </row>
    <row r="186" spans="2:3" s="164" customFormat="1" ht="14.25">
      <c r="B186" s="165" t="s">
        <v>246</v>
      </c>
      <c r="C186" s="167">
        <v>366</v>
      </c>
    </row>
    <row r="187" spans="2:3" s="164" customFormat="1" ht="14.25">
      <c r="B187" s="165" t="s">
        <v>247</v>
      </c>
      <c r="C187" s="167">
        <v>734</v>
      </c>
    </row>
    <row r="188" spans="2:3" s="164" customFormat="1" ht="14.25">
      <c r="B188" s="165" t="s">
        <v>326</v>
      </c>
      <c r="C188" s="166">
        <v>144</v>
      </c>
    </row>
    <row r="189" spans="2:3" s="164" customFormat="1" ht="14.25">
      <c r="B189" s="165" t="s">
        <v>327</v>
      </c>
      <c r="C189" s="166">
        <v>146</v>
      </c>
    </row>
    <row r="190" spans="2:3" s="164" customFormat="1" ht="14.25">
      <c r="B190" s="165" t="s">
        <v>248</v>
      </c>
      <c r="C190" s="167">
        <v>463</v>
      </c>
    </row>
    <row r="191" spans="2:3" s="164" customFormat="1" ht="14.25">
      <c r="B191" s="165" t="s">
        <v>249</v>
      </c>
      <c r="C191" s="167">
        <v>578</v>
      </c>
    </row>
    <row r="192" spans="2:3" s="164" customFormat="1" ht="14.25">
      <c r="B192" s="165" t="s">
        <v>328</v>
      </c>
      <c r="C192" s="166">
        <v>537</v>
      </c>
    </row>
    <row r="193" spans="2:3" s="164" customFormat="1" ht="14.25">
      <c r="B193" s="165" t="s">
        <v>329</v>
      </c>
      <c r="C193" s="166">
        <v>866</v>
      </c>
    </row>
    <row r="194" spans="2:3" s="164" customFormat="1" ht="14.25">
      <c r="B194" s="165" t="s">
        <v>250</v>
      </c>
      <c r="C194" s="167">
        <v>369</v>
      </c>
    </row>
    <row r="195" spans="2:3" s="164" customFormat="1" ht="14.25">
      <c r="B195" s="165" t="s">
        <v>251</v>
      </c>
      <c r="C195" s="167">
        <v>744</v>
      </c>
    </row>
    <row r="196" spans="2:3" s="164" customFormat="1" ht="14.25">
      <c r="B196" s="165" t="s">
        <v>252</v>
      </c>
      <c r="C196" s="167">
        <v>186</v>
      </c>
    </row>
    <row r="197" spans="2:3" s="164" customFormat="1" ht="14.25">
      <c r="B197" s="165" t="s">
        <v>253</v>
      </c>
      <c r="C197" s="167">
        <v>925</v>
      </c>
    </row>
    <row r="198" spans="2:3" s="164" customFormat="1" ht="14.25">
      <c r="B198" s="165" t="s">
        <v>254</v>
      </c>
      <c r="C198" s="167">
        <v>926</v>
      </c>
    </row>
    <row r="199" spans="2:3" s="164" customFormat="1" ht="14.25">
      <c r="B199" s="165" t="s">
        <v>255</v>
      </c>
      <c r="C199" s="167">
        <v>466</v>
      </c>
    </row>
    <row r="200" spans="2:3" s="164" customFormat="1" ht="14.25">
      <c r="B200" s="165" t="s">
        <v>330</v>
      </c>
      <c r="C200" s="166">
        <v>112</v>
      </c>
    </row>
    <row r="201" spans="2:3" s="164" customFormat="1" ht="14.25">
      <c r="B201" s="165" t="s">
        <v>331</v>
      </c>
      <c r="C201" s="166">
        <v>111</v>
      </c>
    </row>
    <row r="202" spans="2:3" s="164" customFormat="1" ht="14.25">
      <c r="B202" s="165" t="s">
        <v>256</v>
      </c>
      <c r="C202" s="167">
        <v>298</v>
      </c>
    </row>
    <row r="203" spans="2:3" s="164" customFormat="1" ht="14.25">
      <c r="B203" s="165" t="s">
        <v>332</v>
      </c>
      <c r="C203" s="167">
        <v>927</v>
      </c>
    </row>
    <row r="204" spans="2:3" s="164" customFormat="1" ht="14.25">
      <c r="B204" s="165" t="s">
        <v>333</v>
      </c>
      <c r="C204" s="166">
        <v>846</v>
      </c>
    </row>
    <row r="205" spans="2:3" s="164" customFormat="1" ht="14.25">
      <c r="B205" s="165" t="s">
        <v>257</v>
      </c>
      <c r="C205" s="167">
        <v>299</v>
      </c>
    </row>
    <row r="206" spans="2:3" s="164" customFormat="1" ht="14.25">
      <c r="B206" s="165" t="s">
        <v>334</v>
      </c>
      <c r="C206" s="168">
        <v>582</v>
      </c>
    </row>
    <row r="207" spans="2:3" s="164" customFormat="1" ht="14.25">
      <c r="B207" s="165" t="s">
        <v>335</v>
      </c>
      <c r="C207" s="168">
        <v>474</v>
      </c>
    </row>
    <row r="208" s="164" customFormat="1" ht="14.25"/>
    <row r="209" s="164" customFormat="1" ht="14.25"/>
    <row r="210" s="164" customFormat="1" ht="14.25"/>
    <row r="211" s="164" customFormat="1" ht="14.25"/>
    <row r="212" s="164" customFormat="1" ht="14.25"/>
    <row r="213" s="164" customFormat="1" ht="14.25"/>
    <row r="214" s="164" customFormat="1" ht="14.25"/>
    <row r="215" s="164" customFormat="1" ht="14.25"/>
    <row r="216" s="164" customFormat="1" ht="14.25"/>
    <row r="217" s="164" customFormat="1" ht="14.25"/>
    <row r="218" s="164" customFormat="1" ht="14.25"/>
    <row r="219" s="164" customFormat="1" ht="14.25"/>
    <row r="220" s="164" customFormat="1" ht="14.25"/>
    <row r="221" s="164" customFormat="1" ht="14.25"/>
    <row r="222" s="164" customFormat="1" ht="14.25"/>
    <row r="223" s="164" customFormat="1" ht="14.25"/>
    <row r="224" s="164" customFormat="1" ht="14.25"/>
    <row r="225" s="164" customFormat="1" ht="14.25"/>
    <row r="226" s="164" customFormat="1" ht="14.25"/>
    <row r="227" s="164" customFormat="1" ht="14.25"/>
    <row r="228" s="164" customFormat="1" ht="14.25"/>
    <row r="229" s="164" customFormat="1" ht="14.25"/>
    <row r="230" s="164" customFormat="1" ht="14.25"/>
    <row r="231" s="164" customFormat="1" ht="14.25"/>
    <row r="232" s="164" customFormat="1" ht="14.25"/>
    <row r="233" s="164" customFormat="1" ht="14.25"/>
    <row r="234" s="164" customFormat="1" ht="14.25"/>
    <row r="235" s="164" customFormat="1" ht="14.25"/>
    <row r="236" s="164" customFormat="1" ht="14.25"/>
    <row r="237" s="164" customFormat="1" ht="14.25"/>
    <row r="238" s="164" customFormat="1" ht="14.25"/>
    <row r="239" s="164" customFormat="1" ht="14.25"/>
    <row r="240" s="164" customFormat="1" ht="14.25"/>
    <row r="241" s="164" customFormat="1" ht="14.25"/>
    <row r="242" s="164" customFormat="1" ht="14.25"/>
    <row r="243" s="164" customFormat="1" ht="14.25"/>
    <row r="244" s="164" customFormat="1" ht="14.25"/>
    <row r="245" s="164" customFormat="1" ht="14.25"/>
    <row r="246" s="164" customFormat="1" ht="14.25"/>
    <row r="247" s="164" customFormat="1" ht="14.25"/>
    <row r="248" s="164" customFormat="1" ht="14.25"/>
    <row r="249" s="164" customFormat="1" ht="14.25"/>
    <row r="250" s="164" customFormat="1" ht="14.25"/>
    <row r="251" s="164" customFormat="1" ht="14.25"/>
    <row r="252" s="164" customFormat="1" ht="14.25"/>
    <row r="253" s="164" customFormat="1" ht="14.25"/>
    <row r="254" s="164" customFormat="1" ht="14.25"/>
    <row r="255" s="164" customFormat="1" ht="14.25"/>
    <row r="256" s="164" customFormat="1" ht="14.25"/>
    <row r="257" s="164" customFormat="1" ht="14.25"/>
    <row r="258" s="164" customFormat="1" ht="14.25"/>
    <row r="259" s="164" customFormat="1" ht="14.25"/>
    <row r="260" s="164" customFormat="1" ht="14.25"/>
    <row r="261" s="164" customFormat="1" ht="14.25"/>
    <row r="262" s="164" customFormat="1" ht="14.25"/>
    <row r="263" s="164" customFormat="1" ht="14.25"/>
    <row r="264" s="164" customFormat="1" ht="14.25"/>
    <row r="265" s="164" customFormat="1" ht="14.25"/>
    <row r="266" s="164" customFormat="1" ht="14.25"/>
    <row r="267" s="164" customFormat="1" ht="14.25"/>
    <row r="268" s="164" customFormat="1" ht="14.25"/>
    <row r="269" s="164" customFormat="1" ht="14.25"/>
    <row r="270" s="164" customFormat="1" ht="14.25"/>
    <row r="271" s="164" customFormat="1" ht="14.25"/>
    <row r="272" s="164" customFormat="1" ht="14.25"/>
    <row r="273" s="164" customFormat="1" ht="14.25"/>
    <row r="274" s="164" customFormat="1" ht="14.25"/>
    <row r="275" s="164" customFormat="1" ht="14.25"/>
    <row r="276" s="165" customFormat="1" ht="14.25"/>
    <row r="277" s="165" customFormat="1" ht="14.25"/>
    <row r="278" s="165" customFormat="1" ht="14.25"/>
    <row r="279" s="165" customFormat="1" ht="14.25"/>
    <row r="280" s="165" customFormat="1" ht="14.25"/>
    <row r="281" s="165" customFormat="1" ht="14.25"/>
    <row r="282" s="165" customFormat="1" ht="14.25"/>
    <row r="283" s="165" customFormat="1" ht="14.25"/>
    <row r="284" s="165" customFormat="1" ht="14.25"/>
    <row r="285" s="165" customFormat="1" ht="14.25"/>
    <row r="286" s="165" customFormat="1" ht="14.25"/>
    <row r="287" s="165" customFormat="1" ht="14.25"/>
    <row r="288" s="165" customFormat="1" ht="14.25"/>
    <row r="289" s="165" customFormat="1" ht="14.25"/>
    <row r="290" s="165" customFormat="1" ht="14.25"/>
    <row r="291" s="165" customFormat="1" ht="14.25"/>
    <row r="292" s="165" customFormat="1" ht="14.25"/>
    <row r="293" s="165" customFormat="1" ht="14.25"/>
    <row r="294" s="165" customFormat="1" ht="14.25"/>
    <row r="295" s="165" customFormat="1" ht="14.25"/>
    <row r="296" s="165" customFormat="1" ht="14.25"/>
    <row r="297" s="165" customFormat="1" ht="14.25"/>
  </sheetData>
  <sheetProtection/>
  <hyperlinks>
    <hyperlink ref="B9" r:id="rId1" display="http://www.imf.org/external/pubs/ft/weo/2015/01/weodata/index.aspx"/>
  </hyperlinks>
  <printOptions/>
  <pageMargins left="0.75" right="0.75" top="1" bottom="1" header="0.5" footer="0.5"/>
  <pageSetup horizontalDpi="600" verticalDpi="600" orientation="portrait" scale="73" r:id="rId2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3:U71"/>
  <sheetViews>
    <sheetView zoomScalePageLayoutView="0" workbookViewId="0" topLeftCell="A1">
      <pane xSplit="2" ySplit="8" topLeftCell="C9" activePane="bottomRight" state="frozen"/>
      <selection pane="topLeft" activeCell="U46" sqref="U46"/>
      <selection pane="topRight" activeCell="U46" sqref="U46"/>
      <selection pane="bottomLeft" activeCell="U46" sqref="U46"/>
      <selection pane="bottomRight" activeCell="B26" sqref="B26"/>
    </sheetView>
  </sheetViews>
  <sheetFormatPr defaultColWidth="9.33203125" defaultRowHeight="12.75"/>
  <cols>
    <col min="1" max="1" width="4.5" style="0" customWidth="1"/>
    <col min="2" max="2" width="62.83203125" style="0" customWidth="1"/>
    <col min="3" max="3" width="8.83203125" style="0" customWidth="1"/>
    <col min="4" max="5" width="7" style="0" customWidth="1"/>
    <col min="6" max="6" width="7" style="18" customWidth="1"/>
    <col min="7" max="7" width="8.33203125" style="18" customWidth="1"/>
    <col min="8" max="8" width="7" style="18" customWidth="1"/>
    <col min="9" max="10" width="8.83203125" style="18" customWidth="1"/>
    <col min="11" max="13" width="8.83203125" style="42" customWidth="1"/>
    <col min="14" max="14" width="1.66796875" style="42" customWidth="1"/>
    <col min="15" max="20" width="8.83203125" style="42" customWidth="1"/>
  </cols>
  <sheetData>
    <row r="3" spans="2:20" ht="14.25">
      <c r="B3" s="139" t="s">
        <v>127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2:20" ht="15">
      <c r="B4" s="132" t="s">
        <v>27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0:20" ht="8.25" customHeight="1">
      <c r="J5" s="28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20" ht="5.25" customHeight="1">
      <c r="B6" s="2"/>
      <c r="C6" s="2"/>
      <c r="D6" s="2"/>
      <c r="E6" s="2"/>
      <c r="F6" s="29"/>
      <c r="G6" s="29"/>
      <c r="H6" s="29"/>
      <c r="I6" s="29"/>
      <c r="J6" s="29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2:20" ht="12.75">
      <c r="B7" s="17"/>
      <c r="C7" s="17"/>
      <c r="D7" s="17"/>
      <c r="E7" s="17"/>
      <c r="F7" s="130" t="s">
        <v>24</v>
      </c>
      <c r="G7" s="130"/>
      <c r="H7" s="130"/>
      <c r="I7" s="130"/>
      <c r="J7" s="130"/>
      <c r="K7" s="130"/>
      <c r="L7" s="130"/>
      <c r="M7" s="130"/>
      <c r="N7" s="53"/>
      <c r="O7" s="54" t="s">
        <v>21</v>
      </c>
      <c r="P7" s="54"/>
      <c r="Q7" s="54"/>
      <c r="R7" s="54"/>
      <c r="S7" s="54"/>
      <c r="T7" s="54"/>
    </row>
    <row r="8" spans="2:20" ht="12.75">
      <c r="B8" s="4"/>
      <c r="C8" s="64">
        <f>Table!C8</f>
        <v>2004</v>
      </c>
      <c r="D8" s="64">
        <f>Table!D8</f>
        <v>2005</v>
      </c>
      <c r="E8" s="64">
        <f>Table!E8</f>
        <v>2006</v>
      </c>
      <c r="F8" s="64">
        <f>Table!F8</f>
        <v>2007</v>
      </c>
      <c r="G8" s="64">
        <f>Table!G8</f>
        <v>2008</v>
      </c>
      <c r="H8" s="64">
        <f>Table!H8</f>
        <v>2009</v>
      </c>
      <c r="I8" s="64">
        <f>Table!I8</f>
        <v>2010</v>
      </c>
      <c r="J8" s="64">
        <f>Table!J8</f>
        <v>2011</v>
      </c>
      <c r="K8" s="64">
        <f>Table!K8</f>
        <v>2012</v>
      </c>
      <c r="L8" s="64">
        <f>Table!L8</f>
        <v>2013</v>
      </c>
      <c r="M8" s="64">
        <f>Table!M8</f>
        <v>2014</v>
      </c>
      <c r="N8" s="33"/>
      <c r="O8" s="64" t="str">
        <f>Table!S8</f>
        <v>2015</v>
      </c>
      <c r="P8" s="64">
        <f>Table!T8</f>
        <v>2016</v>
      </c>
      <c r="Q8" s="64">
        <f>Table!U8</f>
        <v>2017</v>
      </c>
      <c r="R8" s="64">
        <f>Table!V8</f>
        <v>2018</v>
      </c>
      <c r="S8" s="64">
        <f>Table!W8</f>
        <v>2019</v>
      </c>
      <c r="T8" s="64">
        <f>Table!X8</f>
        <v>2020</v>
      </c>
    </row>
    <row r="9" spans="2:21" ht="12.75">
      <c r="B9" s="5"/>
      <c r="C9" s="5"/>
      <c r="D9" s="23"/>
      <c r="E9" s="23"/>
      <c r="F9" s="21"/>
      <c r="G9" s="21"/>
      <c r="H9" s="21"/>
      <c r="I9" s="21"/>
      <c r="J9" s="21"/>
      <c r="K9" s="43"/>
      <c r="L9" s="43"/>
      <c r="M9" s="43"/>
      <c r="N9" s="43"/>
      <c r="O9" s="43"/>
      <c r="P9" s="43"/>
      <c r="Q9" s="43"/>
      <c r="R9" s="43"/>
      <c r="S9" s="43"/>
      <c r="T9" s="43"/>
      <c r="U9" s="61" t="s">
        <v>113</v>
      </c>
    </row>
    <row r="10" spans="3:21" ht="12.75">
      <c r="C10" s="131" t="s">
        <v>73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61" t="s">
        <v>114</v>
      </c>
    </row>
    <row r="11" spans="2:21" ht="12.75">
      <c r="B11" s="5"/>
      <c r="C11" s="5"/>
      <c r="D11" s="21"/>
      <c r="E11" s="21"/>
      <c r="F11" s="21"/>
      <c r="G11" s="21"/>
      <c r="H11" s="21"/>
      <c r="I11" s="21"/>
      <c r="J11" s="21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61" t="s">
        <v>146</v>
      </c>
    </row>
    <row r="12" spans="1:20" ht="12.75">
      <c r="A12">
        <f>A30+1</f>
        <v>1</v>
      </c>
      <c r="B12" t="s">
        <v>1</v>
      </c>
      <c r="C12" s="18">
        <f>Input_external!G4/Table!C37*100</f>
        <v>41.467145679070754</v>
      </c>
      <c r="D12" s="18">
        <f>Input_external!H4/Table!D37*100</f>
        <v>39.890279910674806</v>
      </c>
      <c r="E12" s="18">
        <f>Input_external!I4/Table!E37*100</f>
        <v>34.41184194543343</v>
      </c>
      <c r="F12" s="18">
        <f>Input_external!J4/Table!F37*100</f>
        <v>25.56845863291222</v>
      </c>
      <c r="G12" s="18">
        <f>Input_external!K4/Table!G37*100</f>
        <v>16.655644043400844</v>
      </c>
      <c r="H12" s="18">
        <f>Input_external!L4/Table!H37*100</f>
        <v>4.78478995297671</v>
      </c>
      <c r="I12" s="18">
        <f>Input_external!M4/Table!I37*100</f>
        <v>4.314859534503879</v>
      </c>
      <c r="J12" s="18">
        <f>Input_external!N4/Table!J37*100</f>
        <v>3.4481060927535223</v>
      </c>
      <c r="K12" s="18">
        <f>Input_external!O4/Table!K37*100</f>
        <v>4.122122200101253</v>
      </c>
      <c r="L12" s="18">
        <f>Input_external!P4/Table!L37*100</f>
        <v>3.533196087813501</v>
      </c>
      <c r="M12" s="18">
        <f>Input_external!Q4/Table!M37*100</f>
        <v>2.6753682908552867</v>
      </c>
      <c r="N12" s="18"/>
      <c r="O12" s="28">
        <f>M12+O14</f>
        <v>2.514588096821696</v>
      </c>
      <c r="P12" s="28">
        <f>O12+P14</f>
        <v>2.6338914644185203</v>
      </c>
      <c r="Q12" s="28">
        <f>P12+Q14</f>
        <v>2.871434140579456</v>
      </c>
      <c r="R12" s="28">
        <f>Q12+R14</f>
        <v>3.1980787459086373</v>
      </c>
      <c r="S12" s="28">
        <f>R12+S14</f>
        <v>3.64539739102818</v>
      </c>
      <c r="T12" s="28">
        <f>S12+T14</f>
        <v>4.2848020772661375</v>
      </c>
    </row>
    <row r="13" spans="3:20" ht="12.75">
      <c r="C13" s="18"/>
      <c r="D13" s="18"/>
      <c r="E13" s="18"/>
      <c r="K13" s="18"/>
      <c r="L13" s="18"/>
      <c r="M13" s="18"/>
      <c r="N13" s="18"/>
      <c r="O13" s="28"/>
      <c r="P13" s="28"/>
      <c r="Q13" s="28"/>
      <c r="R13" s="28"/>
      <c r="S13" s="28"/>
      <c r="T13" s="28"/>
    </row>
    <row r="14" spans="1:21" ht="12.75">
      <c r="A14">
        <f>A12+1</f>
        <v>2</v>
      </c>
      <c r="B14" t="s">
        <v>29</v>
      </c>
      <c r="C14" s="18"/>
      <c r="D14" s="18">
        <f>(D12-C12)</f>
        <v>-1.5768657683959475</v>
      </c>
      <c r="E14" s="18">
        <f>(E12-D12)</f>
        <v>-5.478437965241376</v>
      </c>
      <c r="F14" s="18">
        <f aca="true" t="shared" si="0" ref="F14:M14">(F12-E12)</f>
        <v>-8.843383312521212</v>
      </c>
      <c r="G14" s="18">
        <f t="shared" si="0"/>
        <v>-8.912814589511374</v>
      </c>
      <c r="H14" s="18">
        <f t="shared" si="0"/>
        <v>-11.870854090424135</v>
      </c>
      <c r="I14" s="18">
        <f t="shared" si="0"/>
        <v>-0.46993041847283124</v>
      </c>
      <c r="J14" s="18">
        <f t="shared" si="0"/>
        <v>-0.8667534417503564</v>
      </c>
      <c r="K14" s="18">
        <f t="shared" si="0"/>
        <v>0.6740161073477307</v>
      </c>
      <c r="L14" s="18">
        <f t="shared" si="0"/>
        <v>-0.5889261122877518</v>
      </c>
      <c r="M14" s="18">
        <f t="shared" si="0"/>
        <v>-0.8578277969582144</v>
      </c>
      <c r="N14" s="18"/>
      <c r="O14" s="18">
        <f aca="true" t="shared" si="1" ref="O14:T14">O15+O28</f>
        <v>-0.1607801940335909</v>
      </c>
      <c r="P14" s="18">
        <f t="shared" si="1"/>
        <v>0.11930336759682447</v>
      </c>
      <c r="Q14" s="18">
        <f t="shared" si="1"/>
        <v>0.2375426761609356</v>
      </c>
      <c r="R14" s="18">
        <f t="shared" si="1"/>
        <v>0.3266446053291814</v>
      </c>
      <c r="S14" s="18">
        <f t="shared" si="1"/>
        <v>0.4473186451195428</v>
      </c>
      <c r="T14" s="18">
        <f t="shared" si="1"/>
        <v>0.6394046862379579</v>
      </c>
      <c r="U14" s="62">
        <f>U15+U28</f>
        <v>0</v>
      </c>
    </row>
    <row r="15" spans="1:21" ht="12.75">
      <c r="A15">
        <f aca="true" t="shared" si="2" ref="A15:A26">A14+1</f>
        <v>3</v>
      </c>
      <c r="B15" t="s">
        <v>39</v>
      </c>
      <c r="C15" s="18"/>
      <c r="D15" s="18">
        <f>D16+D20+D23</f>
        <v>-10.861741555607416</v>
      </c>
      <c r="E15" s="18">
        <f>E16+E20+E23</f>
        <v>-20.418857295820366</v>
      </c>
      <c r="F15" s="18">
        <f>F16+F20+F23</f>
        <v>-20.799872301568897</v>
      </c>
      <c r="G15" s="18">
        <f aca="true" t="shared" si="3" ref="G15:U15">G16+G20+G23</f>
        <v>-25.977293078370288</v>
      </c>
      <c r="H15" s="18">
        <f t="shared" si="3"/>
        <v>-28.181087839612378</v>
      </c>
      <c r="I15" s="18">
        <f t="shared" si="3"/>
        <v>-24.41051344054414</v>
      </c>
      <c r="J15" s="18">
        <f t="shared" si="3"/>
        <v>-22.453490315061558</v>
      </c>
      <c r="K15" s="18">
        <f t="shared" si="3"/>
        <v>-1.2950664132288616</v>
      </c>
      <c r="L15" s="18">
        <f t="shared" si="3"/>
        <v>-9.31160417432428</v>
      </c>
      <c r="M15" s="18">
        <f t="shared" si="3"/>
        <v>-11.759602360374313</v>
      </c>
      <c r="N15" s="18"/>
      <c r="O15" s="18">
        <f t="shared" si="3"/>
        <v>-6.469334746717485</v>
      </c>
      <c r="P15" s="18">
        <f t="shared" si="3"/>
        <v>-4.769892053650816</v>
      </c>
      <c r="Q15" s="18">
        <f t="shared" si="3"/>
        <v>-5.142370793673775</v>
      </c>
      <c r="R15" s="18">
        <f t="shared" si="3"/>
        <v>-5.00067417708267</v>
      </c>
      <c r="S15" s="18">
        <f t="shared" si="3"/>
        <v>-5.056557730490789</v>
      </c>
      <c r="T15" s="18">
        <f t="shared" si="3"/>
        <v>-5.777316310629608</v>
      </c>
      <c r="U15" s="18">
        <f t="shared" si="3"/>
        <v>0</v>
      </c>
    </row>
    <row r="16" spans="1:21" s="25" customFormat="1" ht="12.75">
      <c r="A16">
        <f t="shared" si="2"/>
        <v>4</v>
      </c>
      <c r="B16" s="27" t="s">
        <v>112</v>
      </c>
      <c r="C16" s="18"/>
      <c r="D16" s="18">
        <f>Input_external!H26/Table!D37*100</f>
        <v>-11.85531648987353</v>
      </c>
      <c r="E16" s="18">
        <f>Input_external!I26/Table!E37*100</f>
        <v>-16.043957123545873</v>
      </c>
      <c r="F16" s="18">
        <f>Input_external!J26/Table!F37*100</f>
        <v>-15.356985015745572</v>
      </c>
      <c r="G16" s="18">
        <f>Input_external!K26/Table!G37*100</f>
        <v>-22.10128010482221</v>
      </c>
      <c r="H16" s="18">
        <f>Input_external!L26/Table!H37*100</f>
        <v>-26.5243790871535</v>
      </c>
      <c r="I16" s="18">
        <f>Input_external!M26/Table!I37*100</f>
        <v>-22.955499473469303</v>
      </c>
      <c r="J16" s="18">
        <f>Input_external!N26/Table!J37*100</f>
        <v>-20.173950961975272</v>
      </c>
      <c r="K16" s="18">
        <f>Input_external!O26/Table!K37*100</f>
        <v>-0.4208268083538204</v>
      </c>
      <c r="L16" s="18">
        <f>Input_external!P26/Table!L37*100</f>
        <v>-7.613319237580539</v>
      </c>
      <c r="M16" s="18">
        <f>Input_external!Q26/Table!M37*100</f>
        <v>-10.397963540003312</v>
      </c>
      <c r="N16" s="18"/>
      <c r="O16" s="18">
        <f>Input_external!R26/Table!S37*100</f>
        <v>-5.628884513488823</v>
      </c>
      <c r="P16" s="18">
        <f>Table!T16</f>
        <v>-3.7382996960749435</v>
      </c>
      <c r="Q16" s="18">
        <f>Table!U16</f>
        <v>-4.095450899101573</v>
      </c>
      <c r="R16" s="18">
        <f>Table!V16</f>
        <v>-3.9974138665881767</v>
      </c>
      <c r="S16" s="18">
        <f>Table!W16</f>
        <v>-4.045665893725947</v>
      </c>
      <c r="T16" s="18">
        <f>Table!X16</f>
        <v>-4.71240026515964</v>
      </c>
      <c r="U16" s="28">
        <f>-(U20+U23)</f>
        <v>1.0743263900572977</v>
      </c>
    </row>
    <row r="17" spans="1:21" ht="12.75">
      <c r="A17">
        <f t="shared" si="2"/>
        <v>5</v>
      </c>
      <c r="B17" s="9" t="s">
        <v>66</v>
      </c>
      <c r="C17" s="42"/>
      <c r="D17" s="42">
        <f>D19-D18</f>
        <v>-9.723559635712395</v>
      </c>
      <c r="E17" s="42">
        <f>E19-E18</f>
        <v>-14.378851360356414</v>
      </c>
      <c r="F17" s="42">
        <f>F19-F18</f>
        <v>-14.361009128390478</v>
      </c>
      <c r="G17" s="42">
        <f aca="true" t="shared" si="4" ref="G17:T17">G19-G18</f>
        <v>-23.44791488962486</v>
      </c>
      <c r="H17" s="42">
        <f t="shared" si="4"/>
        <v>-27.163828920498567</v>
      </c>
      <c r="I17" s="42">
        <f t="shared" si="4"/>
        <v>-22.486412069373102</v>
      </c>
      <c r="J17" s="42">
        <f t="shared" si="4"/>
        <v>-19.224717229296974</v>
      </c>
      <c r="K17" s="42">
        <f t="shared" si="4"/>
        <v>0.6591678598914399</v>
      </c>
      <c r="L17" s="42">
        <f t="shared" si="4"/>
        <v>-6.151688824447941</v>
      </c>
      <c r="M17" s="42">
        <f t="shared" si="4"/>
        <v>-10.657318407381744</v>
      </c>
      <c r="O17" s="42">
        <f t="shared" si="4"/>
        <v>-6.516428195806682</v>
      </c>
      <c r="P17" s="42">
        <f t="shared" si="4"/>
        <v>-4.659491415029947</v>
      </c>
      <c r="Q17" s="42">
        <f t="shared" si="4"/>
        <v>-4.5175079764224755</v>
      </c>
      <c r="R17" s="42">
        <f t="shared" si="4"/>
        <v>-3.932055662603137</v>
      </c>
      <c r="S17" s="42">
        <f t="shared" si="4"/>
        <v>-3.522798361932427</v>
      </c>
      <c r="T17" s="42">
        <f t="shared" si="4"/>
        <v>-3.038259989388113</v>
      </c>
      <c r="U17" s="42"/>
    </row>
    <row r="18" spans="1:21" ht="12.75">
      <c r="A18">
        <f t="shared" si="2"/>
        <v>6</v>
      </c>
      <c r="B18" s="34" t="s">
        <v>105</v>
      </c>
      <c r="C18" s="18">
        <f>Input_external!G7/Table!C37*100</f>
        <v>36.53660871519481</v>
      </c>
      <c r="D18" s="18">
        <f>Input_external!H7/Table!D37*100</f>
        <v>35.25178840992306</v>
      </c>
      <c r="E18" s="18">
        <f>Input_external!I7/Table!E37*100</f>
        <v>38.35637435028463</v>
      </c>
      <c r="F18" s="18">
        <f>Input_external!J7/Table!F37*100</f>
        <v>39.92126560693624</v>
      </c>
      <c r="G18" s="18">
        <f>Input_external!K7/Table!G37*100</f>
        <v>47.31628984874926</v>
      </c>
      <c r="H18" s="18">
        <f>Input_external!L7/Table!H37*100</f>
        <v>48.87101926311921</v>
      </c>
      <c r="I18" s="18">
        <f>Input_external!M7/Table!I37*100</f>
        <v>47.266140336549824</v>
      </c>
      <c r="J18" s="18">
        <f>Input_external!N7/Table!J37*100</f>
        <v>47.800729046796604</v>
      </c>
      <c r="K18" s="18">
        <f>Input_external!O7/Table!K37*100</f>
        <v>34.91542161492573</v>
      </c>
      <c r="L18" s="18">
        <f>Input_external!P7/Table!L37*100</f>
        <v>37.74150950440462</v>
      </c>
      <c r="M18" s="18">
        <f>Input_external!Q7/Table!M37*100</f>
        <v>40.390721510732135</v>
      </c>
      <c r="N18" s="18"/>
      <c r="O18" s="18">
        <f>Table!S18</f>
        <v>35.404476074610706</v>
      </c>
      <c r="P18" s="18">
        <f>Table!T18</f>
        <v>32.402914470521324</v>
      </c>
      <c r="Q18" s="18">
        <f>Table!U18</f>
        <v>30.573828775996954</v>
      </c>
      <c r="R18" s="18">
        <f>Table!V18</f>
        <v>28.275790578268996</v>
      </c>
      <c r="S18" s="18">
        <f>Table!W18</f>
        <v>26.49364867696555</v>
      </c>
      <c r="T18" s="18">
        <f>Table!X18</f>
        <v>25.03633053162295</v>
      </c>
      <c r="U18" s="18"/>
    </row>
    <row r="19" spans="1:21" ht="12.75">
      <c r="A19">
        <f t="shared" si="2"/>
        <v>7</v>
      </c>
      <c r="B19" s="34" t="s">
        <v>104</v>
      </c>
      <c r="C19" s="18"/>
      <c r="D19" s="18">
        <f>-Input_external!H8/Table!D37*100</f>
        <v>25.528228774210664</v>
      </c>
      <c r="E19" s="18">
        <f>-Input_external!I8/Table!E37*100</f>
        <v>23.977522989928218</v>
      </c>
      <c r="F19" s="18">
        <f>-Input_external!J8/Table!F37*100</f>
        <v>25.56025647854576</v>
      </c>
      <c r="G19" s="18">
        <f>-Input_external!K8/Table!G37*100</f>
        <v>23.868374959124395</v>
      </c>
      <c r="H19" s="18">
        <f>-Input_external!L8/Table!H37*100</f>
        <v>21.707190342620642</v>
      </c>
      <c r="I19" s="18">
        <f>-Input_external!M8/Table!I37*100</f>
        <v>24.779728267176722</v>
      </c>
      <c r="J19" s="18">
        <f>-Input_external!N8/Table!J37*100</f>
        <v>28.57601181749963</v>
      </c>
      <c r="K19" s="18">
        <f>-Input_external!O8/Table!K37*100</f>
        <v>35.57458947481717</v>
      </c>
      <c r="L19" s="18">
        <f>-Input_external!P8/Table!L37*100</f>
        <v>31.589820679956677</v>
      </c>
      <c r="M19" s="18">
        <f>-Input_external!Q8/Table!M37*100</f>
        <v>29.73340310335039</v>
      </c>
      <c r="N19" s="18"/>
      <c r="O19" s="18">
        <f>Table!S19</f>
        <v>28.888047878804024</v>
      </c>
      <c r="P19" s="18">
        <f>Table!T19</f>
        <v>27.743423055491377</v>
      </c>
      <c r="Q19" s="18">
        <f>Table!U19</f>
        <v>26.05632079957448</v>
      </c>
      <c r="R19" s="18">
        <f>Table!V19</f>
        <v>24.34373491566586</v>
      </c>
      <c r="S19" s="18">
        <f>Table!W19</f>
        <v>22.970850315033122</v>
      </c>
      <c r="T19" s="18">
        <f>Table!X19</f>
        <v>21.99807054223484</v>
      </c>
      <c r="U19" s="18"/>
    </row>
    <row r="20" spans="1:21" ht="12.75">
      <c r="A20">
        <f t="shared" si="2"/>
        <v>8</v>
      </c>
      <c r="B20" s="15" t="s">
        <v>26</v>
      </c>
      <c r="C20" s="18"/>
      <c r="D20" s="18">
        <f>-(D21+D22)</f>
        <v>-1.7089290483771113</v>
      </c>
      <c r="E20" s="18">
        <f>-(E21+E22)</f>
        <v>-0.913597852369438</v>
      </c>
      <c r="F20" s="18">
        <f>-(F21+F22)</f>
        <v>-0.726476529600182</v>
      </c>
      <c r="G20" s="18">
        <f aca="true" t="shared" si="5" ref="G20:T20">-(G21+G22)</f>
        <v>-1.0269301236624533</v>
      </c>
      <c r="H20" s="18">
        <f t="shared" si="5"/>
        <v>-1.5005756089164308</v>
      </c>
      <c r="I20" s="18">
        <f t="shared" si="5"/>
        <v>-1.0200789581139456</v>
      </c>
      <c r="J20" s="18">
        <f t="shared" si="5"/>
        <v>-1.4500564382631769</v>
      </c>
      <c r="K20" s="18">
        <f t="shared" si="5"/>
        <v>-1.8410647364717936</v>
      </c>
      <c r="L20" s="18">
        <f t="shared" si="5"/>
        <v>-1.1817437382774247</v>
      </c>
      <c r="M20" s="18">
        <f t="shared" si="5"/>
        <v>-0.8809882228706428</v>
      </c>
      <c r="N20" s="18"/>
      <c r="O20" s="18">
        <f t="shared" si="5"/>
        <v>-0.8439007951753188</v>
      </c>
      <c r="P20" s="18">
        <f t="shared" si="5"/>
        <v>-1.0201061432113252</v>
      </c>
      <c r="Q20" s="18">
        <f t="shared" si="5"/>
        <v>-0.9993437152924947</v>
      </c>
      <c r="R20" s="18">
        <f t="shared" si="5"/>
        <v>-0.9909554502038286</v>
      </c>
      <c r="S20" s="18">
        <f t="shared" si="5"/>
        <v>-0.9760955342378485</v>
      </c>
      <c r="T20" s="18">
        <f t="shared" si="5"/>
        <v>-1.0112654446131586</v>
      </c>
      <c r="U20" s="18">
        <f>T20</f>
        <v>-1.0112654446131586</v>
      </c>
    </row>
    <row r="21" spans="1:21" ht="12.75">
      <c r="A21">
        <f t="shared" si="2"/>
        <v>9</v>
      </c>
      <c r="B21" s="9" t="s">
        <v>106</v>
      </c>
      <c r="C21" s="18"/>
      <c r="D21" s="18">
        <f>Input_external!H9/Table!D$37*100</f>
        <v>1.7089290483771113</v>
      </c>
      <c r="E21" s="18">
        <f>Input_external!I9/Table!E$37*100</f>
        <v>0.913597852369438</v>
      </c>
      <c r="F21" s="18">
        <f>Input_external!J9/Table!F$37*100</f>
        <v>0.726476529600182</v>
      </c>
      <c r="G21" s="18">
        <f>Input_external!K9/Table!G$37*100</f>
        <v>1.0269301236624533</v>
      </c>
      <c r="H21" s="18">
        <f>Input_external!L9/Table!H$37*100</f>
        <v>1.5005756089164308</v>
      </c>
      <c r="I21" s="18">
        <f>Input_external!M9/Table!I$37*100</f>
        <v>1.0200789581139456</v>
      </c>
      <c r="J21" s="18">
        <f>Input_external!N9/Table!J$37*100</f>
        <v>1.4500564382631769</v>
      </c>
      <c r="K21" s="18">
        <f>Input_external!O9/Table!K$37*100</f>
        <v>1.8410647364717936</v>
      </c>
      <c r="L21" s="18">
        <f>Input_external!P9/Table!L$37*100</f>
        <v>1.1817437382774247</v>
      </c>
      <c r="M21" s="18">
        <f>Input_external!Q9/Table!M$37*100</f>
        <v>0.8809882228706428</v>
      </c>
      <c r="N21" s="18"/>
      <c r="O21" s="18">
        <f>Input_external!R9/Table!S$37*100</f>
        <v>0.8439007951753188</v>
      </c>
      <c r="P21" s="18">
        <f>Table!T21*Table!T$37/P$37</f>
        <v>1.0201061432113252</v>
      </c>
      <c r="Q21" s="18">
        <f>Table!U21*Table!U$37/Q$37</f>
        <v>0.9993437152924947</v>
      </c>
      <c r="R21" s="18">
        <f>Table!V21*Table!V$37/R$37</f>
        <v>0.9909554502038286</v>
      </c>
      <c r="S21" s="18">
        <f>Table!W21*Table!W$37/S$37</f>
        <v>0.9760955342378485</v>
      </c>
      <c r="T21" s="18">
        <f>Table!X21*Table!X$37/T$37</f>
        <v>1.0112654446131586</v>
      </c>
      <c r="U21" s="18"/>
    </row>
    <row r="22" spans="1:21" ht="12.75">
      <c r="A22">
        <f t="shared" si="2"/>
        <v>10</v>
      </c>
      <c r="B22" s="8" t="s">
        <v>107</v>
      </c>
      <c r="C22" s="18"/>
      <c r="D22" s="18">
        <f>Input_external!H10/Table!D$37*100</f>
        <v>0</v>
      </c>
      <c r="E22" s="18">
        <f>Input_external!I10/Table!E$37*100</f>
        <v>0</v>
      </c>
      <c r="F22" s="18">
        <f>Input_external!J10/Table!F$37*100</f>
        <v>0</v>
      </c>
      <c r="G22" s="18">
        <f>Input_external!K10/Table!G$37*100</f>
        <v>0</v>
      </c>
      <c r="H22" s="18">
        <f>Input_external!L10/Table!H$37*100</f>
        <v>0</v>
      </c>
      <c r="I22" s="18">
        <f>Input_external!M10/Table!I$37*100</f>
        <v>0</v>
      </c>
      <c r="J22" s="18">
        <f>Input_external!N10/Table!J$37*100</f>
        <v>0</v>
      </c>
      <c r="K22" s="18">
        <f>Input_external!O10/Table!K$37*100</f>
        <v>0</v>
      </c>
      <c r="L22" s="18">
        <f>Input_external!P10/Table!L$37*100</f>
        <v>0</v>
      </c>
      <c r="M22" s="18">
        <f>Input_external!Q10/Table!M$37*100</f>
        <v>0</v>
      </c>
      <c r="N22" s="18"/>
      <c r="O22" s="18">
        <f>Input_external!R10/Table!S$37*100</f>
        <v>0</v>
      </c>
      <c r="P22" s="18">
        <f>Table!T22*Table!T$37/P$37</f>
        <v>0</v>
      </c>
      <c r="Q22" s="18">
        <f>Table!U22*Table!U$37/Q$37</f>
        <v>0</v>
      </c>
      <c r="R22" s="18">
        <f>Table!V22*Table!V$37/R$37</f>
        <v>0</v>
      </c>
      <c r="S22" s="18">
        <f>Table!W22*Table!W$37/S$37</f>
        <v>0</v>
      </c>
      <c r="T22" s="18">
        <f>Table!X22*Table!X$37/T$37</f>
        <v>0</v>
      </c>
      <c r="U22" s="18"/>
    </row>
    <row r="23" spans="1:21" ht="12.75">
      <c r="A23">
        <f t="shared" si="2"/>
        <v>11</v>
      </c>
      <c r="B23" s="12" t="s">
        <v>30</v>
      </c>
      <c r="C23" s="18"/>
      <c r="D23" s="42">
        <f>D25+D26+D27</f>
        <v>2.7025039826432256</v>
      </c>
      <c r="E23" s="42">
        <f>E25+E26+E27</f>
        <v>-3.461302319905054</v>
      </c>
      <c r="F23" s="42">
        <f>F25+F26+F27</f>
        <v>-4.716410756223144</v>
      </c>
      <c r="G23" s="42">
        <f>G25+G26+G27</f>
        <v>-2.8490828498856278</v>
      </c>
      <c r="H23" s="42">
        <f aca="true" t="shared" si="6" ref="H23:U23">H25+H26+H27</f>
        <v>-0.15613314354244845</v>
      </c>
      <c r="I23" s="42">
        <f t="shared" si="6"/>
        <v>-0.4349350089608929</v>
      </c>
      <c r="J23" s="42">
        <f t="shared" si="6"/>
        <v>-0.8294829148231108</v>
      </c>
      <c r="K23" s="42">
        <f t="shared" si="6"/>
        <v>0.9668251315967523</v>
      </c>
      <c r="L23" s="42">
        <f t="shared" si="6"/>
        <v>-0.5165411984663174</v>
      </c>
      <c r="M23" s="42">
        <f t="shared" si="6"/>
        <v>-0.48065059750035705</v>
      </c>
      <c r="O23" s="42">
        <f t="shared" si="6"/>
        <v>0.003450561946657514</v>
      </c>
      <c r="P23" s="42">
        <f t="shared" si="6"/>
        <v>-0.011486214364547429</v>
      </c>
      <c r="Q23" s="42">
        <f t="shared" si="6"/>
        <v>-0.04757617927970676</v>
      </c>
      <c r="R23" s="42">
        <f t="shared" si="6"/>
        <v>-0.012304860290664438</v>
      </c>
      <c r="S23" s="42">
        <f t="shared" si="6"/>
        <v>-0.034796302526994165</v>
      </c>
      <c r="T23" s="42">
        <f t="shared" si="6"/>
        <v>-0.05365060085680978</v>
      </c>
      <c r="U23" s="42">
        <f t="shared" si="6"/>
        <v>-0.06306094544413907</v>
      </c>
    </row>
    <row r="24" spans="1:21" ht="12.75" hidden="1">
      <c r="A24">
        <f t="shared" si="2"/>
        <v>12</v>
      </c>
      <c r="B24" s="13" t="s">
        <v>31</v>
      </c>
      <c r="C24" s="42"/>
      <c r="D24" s="42">
        <f aca="true" t="shared" si="7" ref="D24:U24">1+D38/100+D41/100+D38/100*D41/100</f>
        <v>1.0368283320039988</v>
      </c>
      <c r="E24" s="42">
        <f t="shared" si="7"/>
        <v>1.195608288821117</v>
      </c>
      <c r="F24" s="42">
        <f t="shared" si="7"/>
        <v>1.2575738033439823</v>
      </c>
      <c r="G24" s="42">
        <f t="shared" si="7"/>
        <v>1.2094693589463261</v>
      </c>
      <c r="H24" s="42">
        <f t="shared" si="7"/>
        <v>1.1362916443192785</v>
      </c>
      <c r="I24" s="42">
        <f t="shared" si="7"/>
        <v>1.145069885312269</v>
      </c>
      <c r="J24" s="42">
        <f t="shared" si="7"/>
        <v>1.278579282867286</v>
      </c>
      <c r="K24" s="42">
        <f t="shared" si="7"/>
        <v>0.8034340173500737</v>
      </c>
      <c r="L24" s="42">
        <f t="shared" si="7"/>
        <v>1.165374830908146</v>
      </c>
      <c r="M24" s="42">
        <f t="shared" si="7"/>
        <v>1.1827651780047568</v>
      </c>
      <c r="O24" s="42">
        <f t="shared" si="7"/>
        <v>1.021463589319304</v>
      </c>
      <c r="P24" s="42">
        <f t="shared" si="7"/>
        <v>1.0254492409200369</v>
      </c>
      <c r="Q24" s="42">
        <f t="shared" si="7"/>
        <v>1.0402078277837652</v>
      </c>
      <c r="R24" s="42">
        <f t="shared" si="7"/>
        <v>1.029608191465181</v>
      </c>
      <c r="S24" s="42">
        <f t="shared" si="7"/>
        <v>1.036488771132537</v>
      </c>
      <c r="T24" s="42">
        <f t="shared" si="7"/>
        <v>1.0402412453545595</v>
      </c>
      <c r="U24" s="42">
        <f t="shared" si="7"/>
        <v>1.0402412453545595</v>
      </c>
    </row>
    <row r="25" spans="1:21" ht="12.75">
      <c r="A25">
        <v>12</v>
      </c>
      <c r="B25" s="8" t="s">
        <v>48</v>
      </c>
      <c r="C25" s="18"/>
      <c r="D25" s="18">
        <f aca="true" t="shared" si="8" ref="D25:T25">D42/100/D24*C12</f>
        <v>4.175424582117273</v>
      </c>
      <c r="E25" s="18">
        <f t="shared" si="8"/>
        <v>3.064973440207147</v>
      </c>
      <c r="F25" s="18">
        <f t="shared" si="8"/>
        <v>2.331755312748972</v>
      </c>
      <c r="G25" s="18">
        <f t="shared" si="8"/>
        <v>1.5791472656318855</v>
      </c>
      <c r="H25" s="18">
        <f t="shared" si="8"/>
        <v>1.841615520033802</v>
      </c>
      <c r="I25" s="18">
        <f t="shared" si="8"/>
        <v>0.17125413165416603</v>
      </c>
      <c r="J25" s="18">
        <f t="shared" si="8"/>
        <v>0.11064687681526249</v>
      </c>
      <c r="K25" s="18">
        <f t="shared" si="8"/>
        <v>0.12322086818905707</v>
      </c>
      <c r="L25" s="18">
        <f t="shared" si="8"/>
        <v>0.0684167427423772</v>
      </c>
      <c r="M25" s="18">
        <f t="shared" si="8"/>
        <v>0.06531171515774152</v>
      </c>
      <c r="N25" s="18"/>
      <c r="O25" s="18">
        <f>O42/100/O24*M12</f>
        <v>0.06436877297315226</v>
      </c>
      <c r="P25" s="18">
        <f t="shared" si="8"/>
        <v>0.06135660361163842</v>
      </c>
      <c r="Q25" s="18">
        <f t="shared" si="8"/>
        <v>0.06363059998541352</v>
      </c>
      <c r="R25" s="18">
        <f t="shared" si="8"/>
        <v>0.08087280970481704</v>
      </c>
      <c r="S25" s="18">
        <f t="shared" si="8"/>
        <v>0.08990471818284489</v>
      </c>
      <c r="T25" s="18">
        <f t="shared" si="8"/>
        <v>0.1016827522340715</v>
      </c>
      <c r="U25" s="18">
        <f>U42/100/U24*T12</f>
        <v>0.11951796231241653</v>
      </c>
    </row>
    <row r="26" spans="1:21" ht="12.75">
      <c r="A26">
        <f t="shared" si="2"/>
        <v>13</v>
      </c>
      <c r="B26" s="9" t="s">
        <v>32</v>
      </c>
      <c r="C26" s="18"/>
      <c r="D26" s="18">
        <f>-D38/100/D24*C12</f>
        <v>-1.8797285787410425</v>
      </c>
      <c r="E26" s="18">
        <f>-E38/100/E24*D12</f>
        <v>-2.3021162863888183</v>
      </c>
      <c r="F26" s="18">
        <f>-F38/100/F24*E12</f>
        <v>-1.422911145575965</v>
      </c>
      <c r="G26" s="18">
        <f>-G38/100/G24*F12</f>
        <v>-1.0781516543871474</v>
      </c>
      <c r="H26" s="18">
        <f aca="true" t="shared" si="9" ref="H26:U26">-H38/100/H24*G12</f>
        <v>-0.2931579075965019</v>
      </c>
      <c r="I26" s="18">
        <f t="shared" si="9"/>
        <v>-0.1253580243708515</v>
      </c>
      <c r="J26" s="18">
        <f t="shared" si="9"/>
        <v>-0.08099351382877072</v>
      </c>
      <c r="K26" s="18">
        <f t="shared" si="9"/>
        <v>-0.10467273085252374</v>
      </c>
      <c r="L26" s="18">
        <f t="shared" si="9"/>
        <v>-0.11625768034378085</v>
      </c>
      <c r="M26" s="18">
        <f t="shared" si="9"/>
        <v>-0.07379635513469245</v>
      </c>
      <c r="N26" s="18"/>
      <c r="O26" s="18">
        <f>-O38/100/O24*M12</f>
        <v>-0.08016254407766935</v>
      </c>
      <c r="P26" s="18">
        <f t="shared" si="9"/>
        <v>-0.06754450795208923</v>
      </c>
      <c r="Q26" s="18">
        <f t="shared" si="9"/>
        <v>-0.06829308830428538</v>
      </c>
      <c r="R26" s="18">
        <f t="shared" si="9"/>
        <v>-0.07648450021109951</v>
      </c>
      <c r="S26" s="18">
        <f t="shared" si="9"/>
        <v>-0.10640497566458709</v>
      </c>
      <c r="T26" s="18">
        <f t="shared" si="9"/>
        <v>-0.12328538973862373</v>
      </c>
      <c r="U26" s="18">
        <f t="shared" si="9"/>
        <v>-0.14490971419157872</v>
      </c>
    </row>
    <row r="27" spans="1:21" ht="12.75">
      <c r="A27">
        <f>A26+1</f>
        <v>14</v>
      </c>
      <c r="B27" s="9" t="s">
        <v>54</v>
      </c>
      <c r="C27" s="18"/>
      <c r="D27" s="18">
        <f>(-D41/100*(1+D38/100)+Input_external!H36/100*D39/100*(1+D42/100))/D24*C12</f>
        <v>0.4068079792669953</v>
      </c>
      <c r="E27" s="18">
        <f>(-E41/100*(1+E38/100)+Input_external!I36/100*E39/100*(1+E42/100))/E24*D12</f>
        <v>-4.2241594737233825</v>
      </c>
      <c r="F27" s="18">
        <f>(-F41/100*(1+F38/100)+Input_external!J36/100*F39/100*(1+F42/100))/F24*E12</f>
        <v>-5.6252549233961515</v>
      </c>
      <c r="G27" s="18">
        <f>(-G41/100*(1+G38/100)+Input_external!K36/100*G39/100*(1+G42/100))/G24*F12</f>
        <v>-3.350078461130366</v>
      </c>
      <c r="H27" s="18">
        <f>(-H41/100*(1+H38/100)+Input_external!L36/100*H39/100*(1+H42/100))/H24*G12</f>
        <v>-1.7045907559797486</v>
      </c>
      <c r="I27" s="18">
        <f>(-I41/100*(1+I38/100)+Input_external!M36/100*I39/100*(1+I42/100))/I24*H12</f>
        <v>-0.4808311162442074</v>
      </c>
      <c r="J27" s="18">
        <f>(-J41/100*(1+J38/100)+Input_external!N36/100*J39/100*(1+J42/100))/J24*I12</f>
        <v>-0.8591362778096026</v>
      </c>
      <c r="K27" s="18">
        <f>(-K41/100*(1+K38/100)+Input_external!O36/100*K39/100*(1+K42/100))/K24*J12</f>
        <v>0.9482769942602189</v>
      </c>
      <c r="L27" s="18">
        <f>(-L41/100*(1+L38/100)+Input_external!P36/100*L39/100*(1+L42/100))/L24*K12</f>
        <v>-0.4687002608649138</v>
      </c>
      <c r="M27" s="18">
        <f>(-M41/100*(1+M38/100)+Input_external!Q36/100*M39/100*(1+M42/100))/M24*L12</f>
        <v>-0.4721659575234061</v>
      </c>
      <c r="N27" s="18"/>
      <c r="O27" s="18">
        <f>(-O41/100*(1+O38/100)+Input_external!R36/100*O39/100*(1+O42/100))/O24*M12</f>
        <v>0.0192443330511746</v>
      </c>
      <c r="P27" s="18">
        <f>(-P41/100*(1+P38/100)+Input_external!S36/100*P39/100*(1+P42/100))/P24*O12</f>
        <v>-0.005298310024096622</v>
      </c>
      <c r="Q27" s="18">
        <f>(-Q41/100*(1+Q38/100)+Input_external!T36/100*Q39/100*(1+Q42/100))/Q24*P12</f>
        <v>-0.04291369096083491</v>
      </c>
      <c r="R27" s="18">
        <f>(-R41/100*(1+R38/100)+Input_external!U36/100*R39/100*(1+R42/100))/R24*Q12</f>
        <v>-0.01669316978438197</v>
      </c>
      <c r="S27" s="18">
        <f>(-S41/100*(1+S38/100)+Input_external!V36/100*S39/100*(1+S42/100))/S24*R12</f>
        <v>-0.01829604504525196</v>
      </c>
      <c r="T27" s="18">
        <f>(-T41/100*(1+T38/100)+Input_external!W36/100*T39/100*(1+T42/100))/T24*S12</f>
        <v>-0.032047963352257555</v>
      </c>
      <c r="U27" s="18">
        <f>(-U41/100*(1+U38/100)+Input_external!W36/100*U39/100*(1+U42/100))/U24*T12</f>
        <v>-0.03766919356497688</v>
      </c>
    </row>
    <row r="28" spans="1:21" ht="12.75">
      <c r="A28">
        <f>A26+1</f>
        <v>14</v>
      </c>
      <c r="B28" s="11" t="s">
        <v>108</v>
      </c>
      <c r="C28" s="18"/>
      <c r="D28" s="18">
        <f>D14-D15</f>
        <v>9.284875787211469</v>
      </c>
      <c r="E28" s="18">
        <f>E14-E15</f>
        <v>14.94041933057899</v>
      </c>
      <c r="F28" s="18">
        <f>F14-F15</f>
        <v>11.956488989047685</v>
      </c>
      <c r="G28" s="18">
        <f aca="true" t="shared" si="10" ref="G28:M28">G14-G15</f>
        <v>17.064478488858914</v>
      </c>
      <c r="H28" s="18">
        <f t="shared" si="10"/>
        <v>16.310233749188242</v>
      </c>
      <c r="I28" s="18">
        <f t="shared" si="10"/>
        <v>23.94058302207131</v>
      </c>
      <c r="J28" s="18">
        <f t="shared" si="10"/>
        <v>21.586736873311203</v>
      </c>
      <c r="K28" s="18">
        <f t="shared" si="10"/>
        <v>1.9690825205765923</v>
      </c>
      <c r="L28" s="18">
        <f t="shared" si="10"/>
        <v>8.722678062036529</v>
      </c>
      <c r="M28" s="18">
        <f t="shared" si="10"/>
        <v>10.901774563416097</v>
      </c>
      <c r="N28" s="18"/>
      <c r="O28" s="49">
        <f>Table!S28</f>
        <v>6.308554552683894</v>
      </c>
      <c r="P28" s="60">
        <f>Table!T28*Table!T37/P37</f>
        <v>4.88919542124764</v>
      </c>
      <c r="Q28" s="60">
        <f>Table!U28*Table!U37/Q37</f>
        <v>5.379913469834711</v>
      </c>
      <c r="R28" s="60">
        <f>Table!V28*Table!V37/R37</f>
        <v>5.327318782411852</v>
      </c>
      <c r="S28" s="60">
        <f>Table!W28*Table!W37/S37</f>
        <v>5.503876375610332</v>
      </c>
      <c r="T28" s="60">
        <f>Table!X28*Table!X37/T37</f>
        <v>6.416720996867566</v>
      </c>
      <c r="U28" s="18">
        <v>0</v>
      </c>
    </row>
    <row r="29" spans="2:21" ht="12.75">
      <c r="B29" s="7"/>
      <c r="C29" s="7"/>
      <c r="D29" s="31"/>
      <c r="E29" s="31"/>
      <c r="F29" s="31"/>
      <c r="G29" s="31"/>
      <c r="H29" s="31"/>
      <c r="I29" s="31"/>
      <c r="U29" s="42"/>
    </row>
    <row r="30" spans="2:21" ht="12.75">
      <c r="B30" t="s">
        <v>28</v>
      </c>
      <c r="C30" s="19">
        <f aca="true" t="shared" si="11" ref="C30:T30">C12/C18*100</f>
        <v>113.49478546930776</v>
      </c>
      <c r="D30" s="19">
        <f t="shared" si="11"/>
        <v>113.15817355651112</v>
      </c>
      <c r="E30" s="19">
        <f t="shared" si="11"/>
        <v>89.7160968113715</v>
      </c>
      <c r="F30" s="19">
        <f t="shared" si="11"/>
        <v>64.04721454639892</v>
      </c>
      <c r="G30" s="19">
        <f t="shared" si="11"/>
        <v>35.2006552006552</v>
      </c>
      <c r="H30" s="19">
        <f t="shared" si="11"/>
        <v>9.790648988136777</v>
      </c>
      <c r="I30" s="19">
        <f t="shared" si="11"/>
        <v>9.128859483301827</v>
      </c>
      <c r="J30" s="19">
        <f t="shared" si="11"/>
        <v>7.213501052207485</v>
      </c>
      <c r="K30" s="19">
        <f t="shared" si="11"/>
        <v>11.806021549913401</v>
      </c>
      <c r="L30" s="19">
        <f t="shared" si="11"/>
        <v>9.361565380423272</v>
      </c>
      <c r="M30" s="19">
        <f t="shared" si="11"/>
        <v>6.623719980204909</v>
      </c>
      <c r="N30" s="19"/>
      <c r="O30" s="19">
        <f t="shared" si="11"/>
        <v>7.102458151117677</v>
      </c>
      <c r="P30" s="19">
        <f t="shared" si="11"/>
        <v>8.128563456274012</v>
      </c>
      <c r="Q30" s="19">
        <f t="shared" si="11"/>
        <v>9.391804217971467</v>
      </c>
      <c r="R30" s="19">
        <f t="shared" si="11"/>
        <v>11.310307087811298</v>
      </c>
      <c r="S30" s="19">
        <f t="shared" si="11"/>
        <v>13.759514348046778</v>
      </c>
      <c r="T30" s="19">
        <f t="shared" si="11"/>
        <v>17.114337390034372</v>
      </c>
      <c r="U30" s="19"/>
    </row>
    <row r="31" spans="2:21" ht="12.75">
      <c r="B31" s="7"/>
      <c r="C31" s="7"/>
      <c r="D31" s="31"/>
      <c r="E31" s="31"/>
      <c r="F31" s="31"/>
      <c r="G31" s="31"/>
      <c r="H31" s="31"/>
      <c r="I31" s="31"/>
      <c r="U31" s="42"/>
    </row>
    <row r="32" spans="2:21" ht="12.75">
      <c r="B32" s="48" t="s">
        <v>76</v>
      </c>
      <c r="C32" s="7"/>
      <c r="D32" s="19">
        <f>Input_external!H27</f>
        <v>-0.8771599999999999</v>
      </c>
      <c r="E32" s="19">
        <f>Input_external!I27</f>
        <v>-4.751099999999999</v>
      </c>
      <c r="F32" s="19">
        <f>Input_external!J27</f>
        <v>-6.174078</v>
      </c>
      <c r="G32" s="19">
        <f>Input_external!K27</f>
        <v>-15.4545</v>
      </c>
      <c r="H32" s="19">
        <f>Input_external!L27</f>
        <v>-14.290199999999999</v>
      </c>
      <c r="I32" s="19">
        <f>Input_external!M27</f>
        <v>-29.25</v>
      </c>
      <c r="J32" s="19">
        <f>Input_external!N27</f>
        <v>-32.552195</v>
      </c>
      <c r="K32" s="19">
        <f>Input_external!O27</f>
        <v>0.9994119999999901</v>
      </c>
      <c r="L32" s="19">
        <f>Input_external!P27</f>
        <v>-9.66064582097</v>
      </c>
      <c r="M32" s="19">
        <f>Input_external!Q27</f>
        <v>-17.14824545487104</v>
      </c>
      <c r="N32" s="19"/>
      <c r="O32" s="35">
        <f aca="true" t="shared" si="12" ref="O32:T32">O71</f>
        <v>-9.961855854721192</v>
      </c>
      <c r="P32" s="35">
        <f t="shared" si="12"/>
        <v>-6.560315485419096</v>
      </c>
      <c r="Q32" s="35">
        <f t="shared" si="12"/>
        <v>-7.625390055976645</v>
      </c>
      <c r="R32" s="35">
        <f t="shared" si="12"/>
        <v>-7.3842005489003695</v>
      </c>
      <c r="S32" s="35">
        <f t="shared" si="12"/>
        <v>-7.7003982326008735</v>
      </c>
      <c r="T32" s="35">
        <f t="shared" si="12"/>
        <v>-9.271875246672963</v>
      </c>
      <c r="U32" s="52"/>
    </row>
    <row r="33" spans="2:21" ht="12.75">
      <c r="B33" s="12" t="s">
        <v>38</v>
      </c>
      <c r="C33" s="7"/>
      <c r="D33" s="19">
        <f aca="true" t="shared" si="13" ref="D33:T33">D32/D37*100</f>
        <v>-1.5453651588396569</v>
      </c>
      <c r="E33" s="19">
        <f t="shared" si="13"/>
        <v>-7.00095928450393</v>
      </c>
      <c r="F33" s="19">
        <f t="shared" si="13"/>
        <v>-7.2343915466465045</v>
      </c>
      <c r="G33" s="19">
        <f t="shared" si="13"/>
        <v>-14.97235056239753</v>
      </c>
      <c r="H33" s="19">
        <f t="shared" si="13"/>
        <v>-12.183821344623622</v>
      </c>
      <c r="I33" s="19">
        <f t="shared" si="13"/>
        <v>-21.77905804732329</v>
      </c>
      <c r="J33" s="19">
        <f t="shared" si="13"/>
        <v>-18.956835317007386</v>
      </c>
      <c r="K33" s="19">
        <f t="shared" si="13"/>
        <v>0.7244024371680038</v>
      </c>
      <c r="L33" s="19">
        <f t="shared" si="13"/>
        <v>-6.00863563507751</v>
      </c>
      <c r="M33" s="19">
        <f t="shared" si="13"/>
        <v>-9.017597987456698</v>
      </c>
      <c r="N33" s="19"/>
      <c r="O33" s="19">
        <f t="shared" si="13"/>
        <v>-5.128478529678023</v>
      </c>
      <c r="P33" s="19">
        <f t="shared" si="13"/>
        <v>-3.293508931470689</v>
      </c>
      <c r="Q33" s="19">
        <f t="shared" si="13"/>
        <v>-3.6802393665528093</v>
      </c>
      <c r="R33" s="19">
        <f t="shared" si="13"/>
        <v>-3.461349849074509</v>
      </c>
      <c r="S33" s="19">
        <f t="shared" si="13"/>
        <v>-3.482495772255105</v>
      </c>
      <c r="T33" s="19">
        <f t="shared" si="13"/>
        <v>-4.030982588771287</v>
      </c>
      <c r="U33" s="19"/>
    </row>
    <row r="34" spans="2:21" ht="12.75">
      <c r="B34" s="7"/>
      <c r="C34" s="7"/>
      <c r="D34" s="31"/>
      <c r="E34" s="31"/>
      <c r="F34" s="31"/>
      <c r="G34" s="31"/>
      <c r="H34" s="31"/>
      <c r="I34" s="31"/>
      <c r="U34" s="22" t="s">
        <v>131</v>
      </c>
    </row>
    <row r="35" spans="2:21" ht="12.75">
      <c r="B35" s="48" t="s">
        <v>46</v>
      </c>
      <c r="C35" s="14"/>
      <c r="D35" s="39"/>
      <c r="E35" s="39"/>
      <c r="F35" s="39"/>
      <c r="G35" s="39"/>
      <c r="H35" s="39"/>
      <c r="I35" s="39"/>
      <c r="J35" s="39"/>
      <c r="U35" s="30" t="s">
        <v>132</v>
      </c>
    </row>
    <row r="36" spans="2:21" ht="12.75">
      <c r="B36" s="5"/>
      <c r="C36" s="5"/>
      <c r="D36" s="32"/>
      <c r="E36" s="32"/>
      <c r="F36" s="32"/>
      <c r="G36" s="32"/>
      <c r="H36" s="32"/>
      <c r="I36" s="32"/>
      <c r="J36" s="28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2:21" ht="12.75">
      <c r="B37" s="5" t="s">
        <v>75</v>
      </c>
      <c r="C37" s="18">
        <f>IF(ISNUMBER(Input_external!G$11),Input_external!G$11,".")</f>
        <v>54.74454445379784</v>
      </c>
      <c r="D37" s="18">
        <f>IF(ISNUMBER(Input_external!H$11),Input_external!H$11,".")</f>
        <v>56.76069471234998</v>
      </c>
      <c r="E37" s="18">
        <f>IF(ISNUMBER(Input_external!I$11),Input_external!I$11,".")</f>
        <v>67.86355707733058</v>
      </c>
      <c r="F37" s="18">
        <f>IF(ISNUMBER(Input_external!J$11),Input_external!J$11,".")</f>
        <v>85.34343158219005</v>
      </c>
      <c r="G37" s="18">
        <f>IF(ISNUMBER(Input_external!K$11),Input_external!K$11,".")</f>
        <v>103.22026548599102</v>
      </c>
      <c r="H37" s="18">
        <f>IF(ISNUMBER(Input_external!L$11),Input_external!L$11,".")</f>
        <v>117.28832519614924</v>
      </c>
      <c r="I37" s="18">
        <f>IF(ISNUMBER(Input_external!M$11),Input_external!M$11,".")</f>
        <v>134.30332908082272</v>
      </c>
      <c r="J37" s="18">
        <f>IF(ISNUMBER(Input_external!N$11),Input_external!N$11,".")</f>
        <v>171.71745418284743</v>
      </c>
      <c r="K37" s="42">
        <f>IF(ISNUMBER(Input_external!O$11),Input_external!O$11,".")</f>
        <v>137.96364406325236</v>
      </c>
      <c r="L37" s="42">
        <f>IF(ISNUMBER(Input_external!P$11),Input_external!P$11,".")</f>
        <v>160.77935837168434</v>
      </c>
      <c r="M37" s="42">
        <f>IF(ISNUMBER(Input_external!Q$11),Input_external!Q$11,".")</f>
        <v>190.16422642397583</v>
      </c>
      <c r="O37" s="42">
        <f>M37*(1+O38/100)*(1+O41/100)</f>
        <v>194.24583328316322</v>
      </c>
      <c r="P37" s="42">
        <f aca="true" t="shared" si="14" ref="P37:U37">O37*(1+P38/100)*(1+P41/100)</f>
        <v>199.18924229209972</v>
      </c>
      <c r="Q37" s="42">
        <f t="shared" si="14"/>
        <v>207.19820904255914</v>
      </c>
      <c r="R37" s="42">
        <f t="shared" si="14"/>
        <v>213.33297328713383</v>
      </c>
      <c r="S37" s="42">
        <f t="shared" si="14"/>
        <v>221.11723132443166</v>
      </c>
      <c r="T37" s="42">
        <f t="shared" si="14"/>
        <v>230.01526408227903</v>
      </c>
      <c r="U37" s="42">
        <f t="shared" si="14"/>
        <v>239.27136475950786</v>
      </c>
    </row>
    <row r="38" spans="2:21" ht="12.75">
      <c r="B38" s="5" t="s">
        <v>44</v>
      </c>
      <c r="C38" s="5"/>
      <c r="D38" s="18">
        <f>(Input_external!H13/Input_external!G13-1)*100</f>
        <v>4.699999999999993</v>
      </c>
      <c r="E38" s="18">
        <f>(Input_external!I13/Input_external!H13-1)*100</f>
        <v>6.899999999999995</v>
      </c>
      <c r="F38" s="18">
        <f>(Input_external!J13/Input_external!I13-1)*100</f>
        <v>5.199999999999916</v>
      </c>
      <c r="G38" s="18">
        <f>(Input_external!K13/Input_external!J13-1)*100</f>
        <v>5.100000000000082</v>
      </c>
      <c r="H38" s="18">
        <f>(Input_external!L13/Input_external!K13-1)*100</f>
        <v>2.0000000000000684</v>
      </c>
      <c r="I38" s="18">
        <f>(Input_external!M13/Input_external!L13-1)*100</f>
        <v>3.000000000000047</v>
      </c>
      <c r="J38" s="18">
        <f>(Input_external!N13/Input_external!M13-1)*100</f>
        <v>2.3999999999999577</v>
      </c>
      <c r="K38" s="42">
        <f>(Input_external!O13/Input_external!N13-1)*100</f>
        <v>2.4389514241625054</v>
      </c>
      <c r="L38" s="42">
        <f>(Input_external!P13/Input_external!O13-1)*100</f>
        <v>3.286748135925688</v>
      </c>
      <c r="M38" s="42">
        <f>(Input_external!Q13/Input_external!P13-1)*100</f>
        <v>2.4703910269243456</v>
      </c>
      <c r="O38" s="42">
        <f>(Input_external!R13/Input_external!Q13-1)*100</f>
        <v>3.060629831131245</v>
      </c>
      <c r="P38" s="51">
        <f>Table!T38-0.5*$L$54</f>
        <v>2.754465611896143</v>
      </c>
      <c r="Q38" s="51">
        <f>Table!U38-0.5*$L$54</f>
        <v>2.697112086709644</v>
      </c>
      <c r="R38" s="51">
        <f>Table!V38-0.5*$L$54</f>
        <v>2.74249953445134</v>
      </c>
      <c r="S38" s="51">
        <f>Table!W38-0.5*$L$54</f>
        <v>3.4485568127447883</v>
      </c>
      <c r="T38" s="51">
        <f>Table!X38-0.5*$L$54</f>
        <v>3.518040246349011</v>
      </c>
      <c r="U38" s="42">
        <f>T38</f>
        <v>3.518040246349011</v>
      </c>
    </row>
    <row r="39" spans="2:21" ht="12.75">
      <c r="B39" s="11" t="s">
        <v>53</v>
      </c>
      <c r="C39" s="11"/>
      <c r="D39" s="18">
        <f>Input_external!H33</f>
        <v>-3.0959352123882455</v>
      </c>
      <c r="E39" s="18">
        <f>Input_external!I33</f>
        <v>2.954842044059691</v>
      </c>
      <c r="F39" s="18">
        <f>Input_external!J33</f>
        <v>7.3956536641074155</v>
      </c>
      <c r="G39" s="18">
        <f>Input_external!K33</f>
        <v>-1.652660131054151</v>
      </c>
      <c r="H39" s="18">
        <f>Input_external!L33</f>
        <v>0.8667873268701332</v>
      </c>
      <c r="I39" s="18">
        <f>Input_external!M33</f>
        <v>4.840670357307153</v>
      </c>
      <c r="J39" s="18">
        <f>Input_external!N33</f>
        <v>7.292344091615721</v>
      </c>
      <c r="K39" s="18">
        <f>Input_external!O33</f>
        <v>-11.203078746447526</v>
      </c>
      <c r="L39" s="18">
        <f>Input_external!P33</f>
        <v>-2.9526164307339897</v>
      </c>
      <c r="M39" s="18">
        <f>Input_external!Q33</f>
        <v>3.084047038887072</v>
      </c>
      <c r="N39" s="18"/>
      <c r="O39" s="18">
        <f>Input_external!R33</f>
        <v>-2.3437633368933453</v>
      </c>
      <c r="P39" s="18">
        <f>Input_external!S33</f>
        <v>-2.088832794258577</v>
      </c>
      <c r="Q39" s="18">
        <f>Input_external!T33</f>
        <v>-1.7548474059878805</v>
      </c>
      <c r="R39" s="18">
        <f>Input_external!U33</f>
        <v>-1.716177295824528</v>
      </c>
      <c r="S39" s="18">
        <f>Input_external!V33</f>
        <v>-1.6847996711095492</v>
      </c>
      <c r="T39" s="18">
        <f>Input_external!W33</f>
        <v>-1.6715830875122517</v>
      </c>
      <c r="U39" s="42">
        <f>T39</f>
        <v>-1.6715830875122517</v>
      </c>
    </row>
    <row r="40" spans="2:21" ht="12.75">
      <c r="B40" s="11" t="s">
        <v>64</v>
      </c>
      <c r="C40" s="11"/>
      <c r="D40" s="18">
        <f>Input_external!H34</f>
        <v>2.1923014274317643</v>
      </c>
      <c r="E40" s="18">
        <f>Input_external!I34</f>
        <v>8.63366592530288</v>
      </c>
      <c r="F40" s="18">
        <f>Input_external!J34</f>
        <v>11.309193604047806</v>
      </c>
      <c r="G40" s="18">
        <f>Input_external!K34</f>
        <v>17.01176675561664</v>
      </c>
      <c r="H40" s="18">
        <f>Input_external!L34</f>
        <v>10.443828491256802</v>
      </c>
      <c r="I40" s="18">
        <f>Input_external!M34</f>
        <v>6.038842699668545</v>
      </c>
      <c r="J40" s="18">
        <f>Input_external!N34</f>
        <v>16.37480674845806</v>
      </c>
      <c r="K40" s="18">
        <f>Input_external!O34</f>
        <v>-11.674280643559175</v>
      </c>
      <c r="L40" s="18">
        <f>Input_external!P34</f>
        <v>16.26184179685266</v>
      </c>
      <c r="M40" s="18">
        <f>Input_external!Q34</f>
        <v>11.97180418387267</v>
      </c>
      <c r="N40" s="18"/>
      <c r="O40" s="18">
        <f>Input_external!R34</f>
        <v>1.4916035372531944</v>
      </c>
      <c r="P40" s="18">
        <f>Input_external!S34</f>
        <v>1.9251208601722025</v>
      </c>
      <c r="Q40" s="18">
        <f>Input_external!T34</f>
        <v>3.0981221359417166</v>
      </c>
      <c r="R40" s="18">
        <f>Input_external!U34</f>
        <v>1.9623466631461417</v>
      </c>
      <c r="S40" s="18">
        <f>Input_external!V34</f>
        <v>1.9106324312814449</v>
      </c>
      <c r="T40" s="18">
        <f>Input_external!W34</f>
        <v>2.197196160975312</v>
      </c>
      <c r="U40" s="42">
        <f>T40</f>
        <v>2.197196160975312</v>
      </c>
    </row>
    <row r="41" spans="2:21" s="24" customFormat="1" ht="12.75">
      <c r="B41" s="36" t="s">
        <v>65</v>
      </c>
      <c r="C41" s="36"/>
      <c r="D41" s="37">
        <f>((1+D39/100)*(1+D40/100)-1)*100</f>
        <v>-0.9715060168100309</v>
      </c>
      <c r="E41" s="37">
        <f aca="true" t="shared" si="15" ref="E41:T41">((1+E39/100)*(1+E40/100)-1)*100</f>
        <v>11.843619160067087</v>
      </c>
      <c r="F41" s="37">
        <f t="shared" si="15"/>
        <v>19.541236059313995</v>
      </c>
      <c r="G41" s="37">
        <f t="shared" si="15"/>
        <v>15.077959937804497</v>
      </c>
      <c r="H41" s="37">
        <f t="shared" si="15"/>
        <v>11.401141599929199</v>
      </c>
      <c r="I41" s="37">
        <f t="shared" si="15"/>
        <v>11.17183352546296</v>
      </c>
      <c r="J41" s="37">
        <f t="shared" si="15"/>
        <v>24.861258092508454</v>
      </c>
      <c r="K41" s="37">
        <f t="shared" si="15"/>
        <v>-21.569480536427488</v>
      </c>
      <c r="L41" s="37">
        <f t="shared" si="15"/>
        <v>12.82907555328483</v>
      </c>
      <c r="M41" s="37">
        <f t="shared" si="15"/>
        <v>15.425067295193816</v>
      </c>
      <c r="N41" s="37"/>
      <c r="O41" s="37">
        <f t="shared" si="15"/>
        <v>-0.8871194564780915</v>
      </c>
      <c r="P41" s="37">
        <f t="shared" si="15"/>
        <v>-0.2039244899427639</v>
      </c>
      <c r="Q41" s="37">
        <f t="shared" si="15"/>
        <v>1.2889074140169265</v>
      </c>
      <c r="R41" s="37">
        <f t="shared" si="15"/>
        <v>0.21249201942332707</v>
      </c>
      <c r="S41" s="37">
        <f t="shared" si="15"/>
        <v>0.19364243125354896</v>
      </c>
      <c r="T41" s="37">
        <f t="shared" si="15"/>
        <v>0.4888851140367301</v>
      </c>
      <c r="U41" s="42">
        <f>T41</f>
        <v>0.4888851140367301</v>
      </c>
    </row>
    <row r="42" spans="2:21" ht="12.75">
      <c r="B42" s="11" t="s">
        <v>45</v>
      </c>
      <c r="C42" s="11"/>
      <c r="D42" s="18">
        <f>IF(ISNUMBER(100*Input_external!H5/Input_external!G4),(100*Input_external!H5/Input_external!G4),".")</f>
        <v>10.440068719439672</v>
      </c>
      <c r="E42" s="18">
        <f>IF(ISNUMBER(100*Input_external!I5/Input_external!H4),(100*Input_external!I5/Input_external!H4),".")</f>
        <v>9.186467626534759</v>
      </c>
      <c r="F42" s="18">
        <f>IF(ISNUMBER(100*Input_external!J5/Input_external!I4),(100*Input_external!J5/Input_external!I4),".")</f>
        <v>8.52135262556149</v>
      </c>
      <c r="G42" s="18">
        <f>IF(ISNUMBER(100*Input_external!K5/Input_external!J4),(100*Input_external!K5/Input_external!J4),".")</f>
        <v>7.469868475321937</v>
      </c>
      <c r="H42" s="18">
        <f>IF(ISNUMBER(100*Input_external!L5/Input_external!K4),(100*Input_external!L5/Input_external!K4),".")</f>
        <v>12.563983248022335</v>
      </c>
      <c r="I42" s="18">
        <f>IF(ISNUMBER(100*Input_external!M5/Input_external!L4),(100*Input_external!M5/Input_external!L4),".")</f>
        <v>4.098360655737705</v>
      </c>
      <c r="J42" s="18">
        <f>IF(ISNUMBER(100*Input_external!N5/Input_external!M4),(100*Input_external!N5/Input_external!M4),".")</f>
        <v>3.278688524590164</v>
      </c>
      <c r="K42" s="42">
        <f>IF(ISNUMBER(100*Input_external!O5/Input_external!N4),(100*Input_external!O5/Input_external!N4),".")</f>
        <v>2.8711366323256207</v>
      </c>
      <c r="L42" s="42">
        <f>IF(ISNUMBER(100*Input_external!P5/Input_external!O4),(100*Input_external!P5/Input_external!O4),".")</f>
        <v>1.9342257733825916</v>
      </c>
      <c r="M42" s="42">
        <f>IF(ISNUMBER(100*Input_external!Q5/Input_external!P4),(100*Input_external!Q5/Input_external!P4),".")</f>
        <v>2.18636103076144</v>
      </c>
      <c r="O42" s="42">
        <f>IF(ISNUMBER(100*Input_external!R5/Input_external!Q4),(100*Input_external!R5/Input_external!Q4),".")</f>
        <v>2.457618941884664</v>
      </c>
      <c r="P42" s="42">
        <f>IF(ISNUMBER(100*Input_external!S5/Input_external!R4),(100*Input_external!S5/Input_external!R4),".")</f>
        <v>2.502122819976412</v>
      </c>
      <c r="Q42" s="42">
        <f>IF(ISNUMBER(100*Input_external!T5/Input_external!S4),(100*Input_external!T5/Input_external!S4),".")</f>
        <v>2.5129755377379275</v>
      </c>
      <c r="R42" s="42">
        <f>IF(ISNUMBER(100*Input_external!U5/Input_external!T4),(100*Input_external!U5/Input_external!T4),".")</f>
        <v>2.8998508502124674</v>
      </c>
      <c r="S42" s="42">
        <f>IF(ISNUMBER(100*Input_external!V5/Input_external!U4),(100*Input_external!V5/Input_external!U4),".")</f>
        <v>2.9137878792874496</v>
      </c>
      <c r="T42" s="42">
        <f>IF(ISNUMBER(100*Input_external!W5/Input_external!V4),(100*Input_external!W5/Input_external!V4),".")</f>
        <v>2.901592925791173</v>
      </c>
      <c r="U42" s="42">
        <f>T42</f>
        <v>2.901592925791173</v>
      </c>
    </row>
    <row r="43" spans="2:20" ht="12.75">
      <c r="B43" s="11" t="s">
        <v>69</v>
      </c>
      <c r="C43" s="11"/>
      <c r="D43" s="18">
        <f>(Input_external!H7/Input_external!G7-1)*100</f>
        <v>0.03679668829805749</v>
      </c>
      <c r="E43" s="18">
        <f>(Input_external!I7/Input_external!H7-1)*100</f>
        <v>30.09041858828656</v>
      </c>
      <c r="F43" s="18">
        <f>(Input_external!J7/Input_external!I7-1)*100</f>
        <v>30.88812139838646</v>
      </c>
      <c r="G43" s="18">
        <f>(Input_external!K7/Input_external!J7-1)*100</f>
        <v>43.351173568861334</v>
      </c>
      <c r="H43" s="18">
        <f>(Input_external!L7/Input_external!K7-1)*100</f>
        <v>17.362817362817353</v>
      </c>
      <c r="I43" s="18">
        <f>(Input_external!M7/Input_external!L7-1)*100</f>
        <v>10.746685275645484</v>
      </c>
      <c r="J43" s="18">
        <f>(Input_external!N7/Input_external!M7-1)*100</f>
        <v>29.304024889729053</v>
      </c>
      <c r="K43" s="42">
        <f>(Input_external!O7/Input_external!N7-1)*100</f>
        <v>-41.31420583964647</v>
      </c>
      <c r="L43" s="42">
        <f>(Input_external!P7/Input_external!O7-1)*100</f>
        <v>25.970139332677444</v>
      </c>
      <c r="M43" s="42">
        <f>(Input_external!Q7/Input_external!P7-1)*100</f>
        <v>26.57877107911211</v>
      </c>
      <c r="O43" s="42">
        <f>(Input_external!R7/Input_external!Q7-1)*100</f>
        <v>-8.314751312826118</v>
      </c>
      <c r="P43" s="42">
        <f>(Input_external!S7/Input_external!R7-1)*100</f>
        <v>-3.3885534213677904</v>
      </c>
      <c r="Q43" s="42">
        <f>(Input_external!T7/Input_external!S7-1)*100</f>
        <v>0.6925607957811497</v>
      </c>
      <c r="R43" s="42">
        <f>(Input_external!U7/Input_external!T7-1)*100</f>
        <v>-2.349152716427272</v>
      </c>
      <c r="S43" s="42">
        <f>(Input_external!V7/Input_external!U7-1)*100</f>
        <v>-0.4436811669179752</v>
      </c>
      <c r="T43" s="42">
        <f>(Input_external!W7/Input_external!V7-1)*100</f>
        <v>0.7579990791025448</v>
      </c>
    </row>
    <row r="44" spans="2:20" ht="12.75">
      <c r="B44" s="11" t="s">
        <v>70</v>
      </c>
      <c r="C44" s="11"/>
      <c r="D44" s="18">
        <f>(Input_external!H8/Input_external!G8-1)*100</f>
        <v>21.540010065425253</v>
      </c>
      <c r="E44" s="18">
        <f>(Input_external!I8/Input_external!H8-1)*100</f>
        <v>12.298136645962732</v>
      </c>
      <c r="F44" s="18">
        <f>(Input_external!J8/Input_external!I8-1)*100</f>
        <v>34.05850540806294</v>
      </c>
      <c r="G44" s="18">
        <f>(Input_external!K8/Input_external!J8-1)*100</f>
        <v>12.941230402493819</v>
      </c>
      <c r="H44" s="18">
        <f>(Input_external!L8/Input_external!K8-1)*100</f>
        <v>3.340504119819787</v>
      </c>
      <c r="I44" s="18">
        <f>(Input_external!M8/Input_external!L8-1)*100</f>
        <v>30.714846818538888</v>
      </c>
      <c r="J44" s="18">
        <f>(Input_external!N8/Input_external!M8-1)*100</f>
        <v>47.44591346153846</v>
      </c>
      <c r="K44" s="42">
        <f>(Input_external!O8/Input_external!N8-1)*100</f>
        <v>0.020379050336249982</v>
      </c>
      <c r="L44" s="42">
        <f>(Input_external!P8/Input_external!O8-1)*100</f>
        <v>3.4839262428687734</v>
      </c>
      <c r="M44" s="42">
        <f>(Input_external!Q8/Input_external!P8-1)*100</f>
        <v>11.325841860618159</v>
      </c>
      <c r="O44" s="42">
        <f>(Input_external!R8/Input_external!Q8-1)*100</f>
        <v>1.6240463094898239</v>
      </c>
      <c r="P44" s="42">
        <f>(Input_external!S8/Input_external!R8-1)*100</f>
        <v>1.3781896600373544</v>
      </c>
      <c r="Q44" s="42">
        <f>(Input_external!T8/Input_external!S8-1)*100</f>
        <v>0.22698804068845835</v>
      </c>
      <c r="R44" s="42">
        <f>(Input_external!U8/Input_external!T8-1)*100</f>
        <v>-1.3526992764481216</v>
      </c>
      <c r="S44" s="42">
        <f>(Input_external!V8/Input_external!U8-1)*100</f>
        <v>0.2609175789251905</v>
      </c>
      <c r="T44" s="42">
        <f>(Input_external!W8/Input_external!V8-1)*100</f>
        <v>2.1076190543933393</v>
      </c>
    </row>
    <row r="45" spans="2:3" ht="12.75">
      <c r="B45" s="11"/>
      <c r="C45" s="11"/>
    </row>
    <row r="46" spans="2:20" ht="12.75">
      <c r="B46" s="140" t="s">
        <v>176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</row>
    <row r="47" spans="4:9" ht="12.75">
      <c r="D47" s="1"/>
      <c r="E47" s="1"/>
      <c r="F47" s="28"/>
      <c r="G47" s="28"/>
      <c r="H47" s="28"/>
      <c r="I47" s="28"/>
    </row>
    <row r="48" spans="2:12" ht="12.75">
      <c r="B48" s="1" t="s">
        <v>56</v>
      </c>
      <c r="C48" s="16"/>
      <c r="J48" s="38" t="s">
        <v>57</v>
      </c>
      <c r="L48" s="38" t="s">
        <v>59</v>
      </c>
    </row>
    <row r="49" spans="10:12" ht="12.75">
      <c r="J49" s="20" t="s">
        <v>58</v>
      </c>
      <c r="L49" s="20" t="s">
        <v>60</v>
      </c>
    </row>
    <row r="50" spans="10:12" ht="12.75">
      <c r="J50" s="21"/>
      <c r="L50" s="21"/>
    </row>
    <row r="51" spans="2:12" ht="12.75">
      <c r="B51" t="s">
        <v>61</v>
      </c>
      <c r="J51" s="42">
        <f>-Table!O45</f>
        <v>-15.344347784252289</v>
      </c>
      <c r="L51" s="42">
        <f>Table!Q45</f>
        <v>7.968785501420509</v>
      </c>
    </row>
    <row r="52" spans="2:12" ht="12.75">
      <c r="B52" t="s">
        <v>62</v>
      </c>
      <c r="J52" s="42">
        <f>Table!O46</f>
        <v>1.22504412569226</v>
      </c>
      <c r="L52" s="19" t="s">
        <v>71</v>
      </c>
    </row>
    <row r="53" spans="2:14" ht="12.75">
      <c r="B53" t="s">
        <v>63</v>
      </c>
      <c r="J53" s="42">
        <f>Table!O42</f>
        <v>6.255051331167772</v>
      </c>
      <c r="K53" s="40"/>
      <c r="L53" s="42">
        <f>Table!Q42</f>
        <v>3.8399479075665797</v>
      </c>
      <c r="M53" s="40"/>
      <c r="N53" s="40"/>
    </row>
    <row r="54" spans="2:12" ht="12.75">
      <c r="B54" t="s">
        <v>44</v>
      </c>
      <c r="D54" s="1"/>
      <c r="E54" s="1"/>
      <c r="F54" s="28"/>
      <c r="G54" s="28"/>
      <c r="H54" s="28"/>
      <c r="I54" s="28"/>
      <c r="J54" s="42">
        <f>Table!O38</f>
        <v>3.7496090587012603</v>
      </c>
      <c r="L54" s="42">
        <f>Table!Q38</f>
        <v>1.6250931000133242</v>
      </c>
    </row>
    <row r="55" spans="2:12" ht="12.75">
      <c r="B55" s="36" t="s">
        <v>65</v>
      </c>
      <c r="J55" s="42">
        <f>Table!O41</f>
        <v>9.961020467032732</v>
      </c>
      <c r="L55" s="42">
        <f>Table!Q41</f>
        <v>12.90494760066813</v>
      </c>
    </row>
    <row r="57" spans="2:20" ht="12.75">
      <c r="B57" s="3"/>
      <c r="C57" s="3"/>
      <c r="D57" s="3"/>
      <c r="E57" s="3"/>
      <c r="F57" s="38"/>
      <c r="G57" s="38"/>
      <c r="H57" s="38"/>
      <c r="I57" s="38"/>
      <c r="J57" s="38"/>
      <c r="K57" s="44"/>
      <c r="L57" s="44"/>
      <c r="M57" s="44"/>
      <c r="N57" s="44"/>
      <c r="O57" s="44"/>
      <c r="P57" s="44"/>
      <c r="Q57" s="44"/>
      <c r="R57" s="44"/>
      <c r="S57" s="44"/>
      <c r="T57" s="44"/>
    </row>
    <row r="58" spans="2:20" ht="12.75">
      <c r="B58" s="10" t="s">
        <v>92</v>
      </c>
      <c r="C58" s="5"/>
      <c r="D58" s="5"/>
      <c r="E58" s="5"/>
      <c r="F58" s="21"/>
      <c r="G58" s="21"/>
      <c r="H58" s="21"/>
      <c r="I58" s="21"/>
      <c r="J58" s="21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2:3" ht="12.75">
      <c r="B59" s="10" t="s">
        <v>93</v>
      </c>
      <c r="C59" s="10"/>
    </row>
    <row r="60" spans="2:3" ht="12.75">
      <c r="B60" s="10" t="s">
        <v>94</v>
      </c>
      <c r="C60" s="10"/>
    </row>
    <row r="61" spans="2:3" ht="12.75">
      <c r="B61" s="10" t="s">
        <v>95</v>
      </c>
      <c r="C61" s="10"/>
    </row>
    <row r="62" spans="2:3" ht="12.75">
      <c r="B62" s="10" t="s">
        <v>91</v>
      </c>
      <c r="C62" s="10"/>
    </row>
    <row r="63" spans="2:3" ht="12.75">
      <c r="B63" s="10"/>
      <c r="C63" s="10"/>
    </row>
    <row r="65" ht="12.75">
      <c r="B65" s="1" t="s">
        <v>83</v>
      </c>
    </row>
    <row r="66" spans="2:20" ht="12.75">
      <c r="B66" t="s">
        <v>74</v>
      </c>
      <c r="M66" s="42">
        <f aca="true" t="shared" si="16" ref="M66:T66">M12/100*M37</f>
        <v>5.0875934142973</v>
      </c>
      <c r="O66" s="42">
        <f t="shared" si="16"/>
        <v>4.884482602310538</v>
      </c>
      <c r="P66" s="42">
        <f t="shared" si="16"/>
        <v>5.24642845077154</v>
      </c>
      <c r="Q66" s="42">
        <f t="shared" si="16"/>
        <v>5.949560113117233</v>
      </c>
      <c r="R66" s="42">
        <f t="shared" si="16"/>
        <v>6.822556476710777</v>
      </c>
      <c r="S66" s="42">
        <f t="shared" si="16"/>
        <v>8.060601781814578</v>
      </c>
      <c r="T66" s="42">
        <f t="shared" si="16"/>
        <v>9.855698813426683</v>
      </c>
    </row>
    <row r="67" spans="2:20" ht="12.75">
      <c r="B67" t="s">
        <v>79</v>
      </c>
      <c r="M67" s="42">
        <f>Input_external!Q28/100*'A1_historical'!M66</f>
        <v>0</v>
      </c>
      <c r="O67" s="42">
        <f>Input_external!R28/100*O66</f>
        <v>0</v>
      </c>
      <c r="P67" s="42">
        <f>Input_external!S28/100*P66</f>
        <v>0</v>
      </c>
      <c r="Q67" s="42">
        <f>Input_external!T28/100*Q66</f>
        <v>0</v>
      </c>
      <c r="R67" s="42">
        <f>Input_external!U28/100*R66</f>
        <v>0</v>
      </c>
      <c r="S67" s="42">
        <f>Input_external!V28/100*S66</f>
        <v>0</v>
      </c>
      <c r="T67" s="42">
        <f>Input_external!W28/100*T66</f>
        <v>0</v>
      </c>
    </row>
    <row r="68" spans="2:20" ht="12.75">
      <c r="B68" s="6" t="s">
        <v>80</v>
      </c>
      <c r="O68" s="42">
        <f>(O66-O67)/Input_external!R29</f>
        <v>0.846984113616254</v>
      </c>
      <c r="P68" s="42">
        <f>(P66-P67)/Input_external!S29</f>
        <v>0.7637595999702607</v>
      </c>
      <c r="Q68" s="42">
        <f>(Q66-Q67)/Input_external!T29</f>
        <v>0.7284693956063887</v>
      </c>
      <c r="R68" s="42">
        <f>(R66-R67)/Input_external!U29</f>
        <v>0.971072937760236</v>
      </c>
      <c r="S68" s="42">
        <f>(S66-S67)/Input_external!V29</f>
        <v>1.0464713565668247</v>
      </c>
      <c r="T68" s="42">
        <f>(T66-T67)/Input_external!W29</f>
        <v>1.333478816770672</v>
      </c>
    </row>
    <row r="69" spans="2:20" ht="12.75">
      <c r="B69" s="6" t="s">
        <v>81</v>
      </c>
      <c r="O69" s="42">
        <f>O42/100*M66</f>
        <v>0.12503365943584716</v>
      </c>
      <c r="P69" s="42">
        <f>P42/100*O66</f>
        <v>0.12221575383018966</v>
      </c>
      <c r="Q69" s="42">
        <f>Q42/100*P66</f>
        <v>0.1318414635728117</v>
      </c>
      <c r="R69" s="42">
        <f>R42/100*Q66</f>
        <v>0.17252836952413192</v>
      </c>
      <c r="S69" s="42">
        <f>S42/100*R66</f>
        <v>0.1987948236759395</v>
      </c>
      <c r="T69" s="42">
        <f>T42/100*S66</f>
        <v>0.233885851077329</v>
      </c>
    </row>
    <row r="70" spans="2:20" ht="12.75">
      <c r="B70" t="s">
        <v>82</v>
      </c>
      <c r="O70" s="42">
        <f aca="true" t="shared" si="17" ref="O70:T70">O16/100*O37</f>
        <v>-10.933873627773293</v>
      </c>
      <c r="P70" s="42">
        <f t="shared" si="17"/>
        <v>-7.446290839219547</v>
      </c>
      <c r="Q70" s="42">
        <f t="shared" si="17"/>
        <v>-8.485700915155846</v>
      </c>
      <c r="R70" s="42">
        <f t="shared" si="17"/>
        <v>-8.527801856184738</v>
      </c>
      <c r="S70" s="42">
        <f t="shared" si="17"/>
        <v>-8.945664412843637</v>
      </c>
      <c r="T70" s="42">
        <f t="shared" si="17"/>
        <v>-10.839239914520963</v>
      </c>
    </row>
    <row r="71" spans="2:20" ht="12.75">
      <c r="B71" s="1" t="s">
        <v>33</v>
      </c>
      <c r="O71" s="42">
        <f>M67+O68+O69+O70</f>
        <v>-9.961855854721192</v>
      </c>
      <c r="P71" s="42">
        <f>O67+P68+P69+P70</f>
        <v>-6.560315485419096</v>
      </c>
      <c r="Q71" s="42">
        <f>P67+Q68+Q69+Q70</f>
        <v>-7.625390055976645</v>
      </c>
      <c r="R71" s="42">
        <f>Q67+R68+R69+R70</f>
        <v>-7.3842005489003695</v>
      </c>
      <c r="S71" s="42">
        <f>R67+S68+S69+S70</f>
        <v>-7.7003982326008735</v>
      </c>
      <c r="T71" s="42">
        <f>S67+T68+T69+T70</f>
        <v>-9.271875246672963</v>
      </c>
    </row>
  </sheetData>
  <sheetProtection/>
  <mergeCells count="5">
    <mergeCell ref="B46:T46"/>
    <mergeCell ref="B3:T3"/>
    <mergeCell ref="B4:T4"/>
    <mergeCell ref="F7:M7"/>
    <mergeCell ref="C10:T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3:U71"/>
  <sheetViews>
    <sheetView zoomScalePageLayoutView="0" workbookViewId="0" topLeftCell="A2">
      <pane xSplit="2" ySplit="7" topLeftCell="C9" activePane="bottomRight" state="frozen"/>
      <selection pane="topLeft" activeCell="U46" sqref="U46"/>
      <selection pane="topRight" activeCell="U46" sqref="U46"/>
      <selection pane="bottomLeft" activeCell="U46" sqref="U46"/>
      <selection pane="bottomRight" activeCell="B21" sqref="B21"/>
    </sheetView>
  </sheetViews>
  <sheetFormatPr defaultColWidth="9.33203125" defaultRowHeight="12.75"/>
  <cols>
    <col min="1" max="1" width="4.5" style="0" customWidth="1"/>
    <col min="2" max="2" width="62.83203125" style="0" customWidth="1"/>
    <col min="3" max="3" width="8.83203125" style="0" customWidth="1"/>
    <col min="4" max="5" width="7" style="0" customWidth="1"/>
    <col min="6" max="6" width="7" style="18" customWidth="1"/>
    <col min="7" max="7" width="8.33203125" style="18" customWidth="1"/>
    <col min="8" max="8" width="7" style="18" customWidth="1"/>
    <col min="9" max="10" width="8.83203125" style="18" customWidth="1"/>
    <col min="11" max="13" width="8.83203125" style="42" customWidth="1"/>
    <col min="14" max="14" width="1.66796875" style="42" customWidth="1"/>
    <col min="15" max="20" width="8.83203125" style="42" customWidth="1"/>
  </cols>
  <sheetData>
    <row r="3" spans="2:20" ht="14.25">
      <c r="B3" s="139" t="s">
        <v>128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2:20" ht="15">
      <c r="B4" s="132" t="s">
        <v>27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0:20" ht="8.25" customHeight="1">
      <c r="J5" s="28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20" ht="5.25" customHeight="1">
      <c r="B6" s="2"/>
      <c r="C6" s="2"/>
      <c r="D6" s="2"/>
      <c r="E6" s="2"/>
      <c r="F6" s="29"/>
      <c r="G6" s="29"/>
      <c r="H6" s="29"/>
      <c r="I6" s="29"/>
      <c r="J6" s="29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2:20" ht="12.75">
      <c r="B7" s="17"/>
      <c r="C7" s="17"/>
      <c r="D7" s="17"/>
      <c r="E7" s="17"/>
      <c r="F7" s="130" t="s">
        <v>24</v>
      </c>
      <c r="G7" s="130"/>
      <c r="H7" s="130"/>
      <c r="I7" s="130"/>
      <c r="J7" s="130"/>
      <c r="K7" s="130"/>
      <c r="L7" s="130"/>
      <c r="M7" s="130"/>
      <c r="N7" s="53"/>
      <c r="O7" s="54" t="s">
        <v>21</v>
      </c>
      <c r="P7" s="54"/>
      <c r="Q7" s="54"/>
      <c r="R7" s="54"/>
      <c r="S7" s="54"/>
      <c r="T7" s="54"/>
    </row>
    <row r="8" spans="2:20" ht="12.75">
      <c r="B8" s="4"/>
      <c r="C8" s="64">
        <f>Table!C8</f>
        <v>2004</v>
      </c>
      <c r="D8" s="64">
        <f>Table!D8</f>
        <v>2005</v>
      </c>
      <c r="E8" s="64">
        <f>Table!E8</f>
        <v>2006</v>
      </c>
      <c r="F8" s="64">
        <f>Table!F8</f>
        <v>2007</v>
      </c>
      <c r="G8" s="64">
        <f>Table!G8</f>
        <v>2008</v>
      </c>
      <c r="H8" s="64">
        <f>Table!H8</f>
        <v>2009</v>
      </c>
      <c r="I8" s="64">
        <f>Table!I8</f>
        <v>2010</v>
      </c>
      <c r="J8" s="64">
        <f>Table!J8</f>
        <v>2011</v>
      </c>
      <c r="K8" s="64">
        <f>Table!K8</f>
        <v>2012</v>
      </c>
      <c r="L8" s="64">
        <f>Table!L8</f>
        <v>2013</v>
      </c>
      <c r="M8" s="64">
        <f>Table!M8</f>
        <v>2014</v>
      </c>
      <c r="N8" s="33"/>
      <c r="O8" s="64" t="str">
        <f>Table!S8</f>
        <v>2015</v>
      </c>
      <c r="P8" s="64">
        <f>Table!T8</f>
        <v>2016</v>
      </c>
      <c r="Q8" s="64">
        <f>Table!U8</f>
        <v>2017</v>
      </c>
      <c r="R8" s="64">
        <f>Table!V8</f>
        <v>2018</v>
      </c>
      <c r="S8" s="64">
        <f>Table!W8</f>
        <v>2019</v>
      </c>
      <c r="T8" s="64">
        <f>Table!X8</f>
        <v>2020</v>
      </c>
    </row>
    <row r="9" spans="2:21" ht="12.75">
      <c r="B9" s="5"/>
      <c r="C9" s="5"/>
      <c r="D9" s="23"/>
      <c r="E9" s="23"/>
      <c r="F9" s="21"/>
      <c r="G9" s="21"/>
      <c r="H9" s="21"/>
      <c r="I9" s="21"/>
      <c r="J9" s="21"/>
      <c r="K9" s="43"/>
      <c r="L9" s="43"/>
      <c r="M9" s="43"/>
      <c r="N9" s="43"/>
      <c r="O9" s="43"/>
      <c r="P9" s="43"/>
      <c r="Q9" s="43"/>
      <c r="R9" s="43"/>
      <c r="S9" s="43"/>
      <c r="T9" s="43"/>
      <c r="U9" s="61" t="s">
        <v>113</v>
      </c>
    </row>
    <row r="10" spans="3:21" ht="12.75">
      <c r="C10" s="131" t="s">
        <v>73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61" t="s">
        <v>114</v>
      </c>
    </row>
    <row r="11" spans="2:21" ht="12.75">
      <c r="B11" s="5"/>
      <c r="C11" s="5"/>
      <c r="D11" s="21"/>
      <c r="E11" s="21"/>
      <c r="F11" s="21"/>
      <c r="G11" s="21"/>
      <c r="H11" s="21"/>
      <c r="I11" s="21"/>
      <c r="J11" s="21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61" t="s">
        <v>146</v>
      </c>
    </row>
    <row r="12" spans="1:20" ht="12.75">
      <c r="A12">
        <f>A30+1</f>
        <v>1</v>
      </c>
      <c r="B12" t="s">
        <v>1</v>
      </c>
      <c r="C12" s="18">
        <f>Input_external!G4/Table!C37*100</f>
        <v>41.467145679070754</v>
      </c>
      <c r="D12" s="18">
        <f>Input_external!H4/Table!D37*100</f>
        <v>39.890279910674806</v>
      </c>
      <c r="E12" s="18">
        <f>Input_external!I4/Table!E37*100</f>
        <v>34.41184194543343</v>
      </c>
      <c r="F12" s="18">
        <f>Input_external!J4/Table!F37*100</f>
        <v>25.56845863291222</v>
      </c>
      <c r="G12" s="18">
        <f>Input_external!K4/Table!G37*100</f>
        <v>16.655644043400844</v>
      </c>
      <c r="H12" s="18">
        <f>Input_external!L4/Table!H37*100</f>
        <v>4.78478995297671</v>
      </c>
      <c r="I12" s="18">
        <f>Input_external!M4/Table!I37*100</f>
        <v>4.314859534503879</v>
      </c>
      <c r="J12" s="18">
        <f>Input_external!N4/Table!J37*100</f>
        <v>3.4481060927535223</v>
      </c>
      <c r="K12" s="18">
        <f>Input_external!O4/Table!K37*100</f>
        <v>4.122122200101253</v>
      </c>
      <c r="L12" s="18">
        <f>Input_external!P4/Table!L37*100</f>
        <v>3.533196087813501</v>
      </c>
      <c r="M12" s="18">
        <f>Input_external!Q4/Table!M37*100</f>
        <v>2.6753682908552867</v>
      </c>
      <c r="N12" s="18"/>
      <c r="O12" s="28">
        <f>M12+O14</f>
        <v>2.514588096821696</v>
      </c>
      <c r="P12" s="28">
        <f>O12+P14</f>
        <v>6.400014248112379</v>
      </c>
      <c r="Q12" s="28">
        <f>P12+Q14</f>
        <v>10.174724241367526</v>
      </c>
      <c r="R12" s="28">
        <f>Q12+R14</f>
        <v>13.948695576185505</v>
      </c>
      <c r="S12" s="28">
        <f>R12+S14</f>
        <v>17.6107522148321</v>
      </c>
      <c r="T12" s="28">
        <f>S12+T14</f>
        <v>21.127156794799014</v>
      </c>
    </row>
    <row r="13" spans="3:20" ht="12.75">
      <c r="C13" s="18"/>
      <c r="D13" s="18"/>
      <c r="E13" s="18"/>
      <c r="K13" s="18"/>
      <c r="L13" s="18"/>
      <c r="M13" s="18"/>
      <c r="N13" s="18"/>
      <c r="O13" s="28"/>
      <c r="P13" s="28"/>
      <c r="Q13" s="28"/>
      <c r="R13" s="28"/>
      <c r="S13" s="28"/>
      <c r="T13" s="28"/>
    </row>
    <row r="14" spans="1:21" ht="12.75">
      <c r="A14">
        <f>A12+1</f>
        <v>2</v>
      </c>
      <c r="B14" t="s">
        <v>29</v>
      </c>
      <c r="C14" s="18"/>
      <c r="D14" s="18">
        <f>(D12-C12)</f>
        <v>-1.5768657683959475</v>
      </c>
      <c r="E14" s="18">
        <f>(E12-D12)</f>
        <v>-5.478437965241376</v>
      </c>
      <c r="F14" s="18">
        <f aca="true" t="shared" si="0" ref="F14:M14">(F12-E12)</f>
        <v>-8.843383312521212</v>
      </c>
      <c r="G14" s="18">
        <f t="shared" si="0"/>
        <v>-8.912814589511374</v>
      </c>
      <c r="H14" s="18">
        <f t="shared" si="0"/>
        <v>-11.870854090424135</v>
      </c>
      <c r="I14" s="18">
        <f t="shared" si="0"/>
        <v>-0.46993041847283124</v>
      </c>
      <c r="J14" s="18">
        <f t="shared" si="0"/>
        <v>-0.8667534417503564</v>
      </c>
      <c r="K14" s="18">
        <f t="shared" si="0"/>
        <v>0.6740161073477307</v>
      </c>
      <c r="L14" s="18">
        <f t="shared" si="0"/>
        <v>-0.5889261122877518</v>
      </c>
      <c r="M14" s="18">
        <f t="shared" si="0"/>
        <v>-0.8578277969582144</v>
      </c>
      <c r="N14" s="18"/>
      <c r="O14" s="18">
        <f aca="true" t="shared" si="1" ref="O14:T14">O15+O28</f>
        <v>-0.1607801940335909</v>
      </c>
      <c r="P14" s="18">
        <f t="shared" si="1"/>
        <v>3.885426151290684</v>
      </c>
      <c r="Q14" s="18">
        <f t="shared" si="1"/>
        <v>3.7747099932551467</v>
      </c>
      <c r="R14" s="18">
        <f t="shared" si="1"/>
        <v>3.7739713348179795</v>
      </c>
      <c r="S14" s="18">
        <f t="shared" si="1"/>
        <v>3.662056638646595</v>
      </c>
      <c r="T14" s="18">
        <f t="shared" si="1"/>
        <v>3.5164045799669137</v>
      </c>
      <c r="U14" s="62">
        <f>U15+U28</f>
        <v>0</v>
      </c>
    </row>
    <row r="15" spans="1:21" ht="12.75">
      <c r="A15">
        <f aca="true" t="shared" si="2" ref="A15:A26">A14+1</f>
        <v>3</v>
      </c>
      <c r="B15" t="s">
        <v>39</v>
      </c>
      <c r="C15" s="18"/>
      <c r="D15" s="18">
        <f>D16+D20+D23</f>
        <v>-10.861741555607416</v>
      </c>
      <c r="E15" s="18">
        <f>E16+E20+E23</f>
        <v>-20.418857295820366</v>
      </c>
      <c r="F15" s="18">
        <f>F16+F20+F23</f>
        <v>-20.799872301568897</v>
      </c>
      <c r="G15" s="18">
        <f aca="true" t="shared" si="3" ref="G15:U15">G16+G20+G23</f>
        <v>-25.977293078370288</v>
      </c>
      <c r="H15" s="18">
        <f t="shared" si="3"/>
        <v>-28.181087839612378</v>
      </c>
      <c r="I15" s="18">
        <f t="shared" si="3"/>
        <v>-24.41051344054414</v>
      </c>
      <c r="J15" s="18">
        <f t="shared" si="3"/>
        <v>-22.453490315061558</v>
      </c>
      <c r="K15" s="18">
        <f t="shared" si="3"/>
        <v>-1.2950664132288616</v>
      </c>
      <c r="L15" s="18">
        <f t="shared" si="3"/>
        <v>-9.31160417432428</v>
      </c>
      <c r="M15" s="18">
        <f t="shared" si="3"/>
        <v>-11.759602360374313</v>
      </c>
      <c r="N15" s="18"/>
      <c r="O15" s="18">
        <f t="shared" si="3"/>
        <v>-6.469334746717485</v>
      </c>
      <c r="P15" s="18">
        <f t="shared" si="3"/>
        <v>-0.7527673806919972</v>
      </c>
      <c r="Q15" s="18">
        <f t="shared" si="3"/>
        <v>-1.2000856627158183</v>
      </c>
      <c r="R15" s="18">
        <f t="shared" si="3"/>
        <v>-1.0296585927403847</v>
      </c>
      <c r="S15" s="18">
        <f t="shared" si="3"/>
        <v>-1.179135453051213</v>
      </c>
      <c r="T15" s="18">
        <f t="shared" si="3"/>
        <v>-1.990153693955031</v>
      </c>
      <c r="U15" s="18">
        <f t="shared" si="3"/>
        <v>0</v>
      </c>
    </row>
    <row r="16" spans="1:21" s="25" customFormat="1" ht="12.75">
      <c r="A16">
        <f t="shared" si="2"/>
        <v>4</v>
      </c>
      <c r="B16" s="27" t="s">
        <v>40</v>
      </c>
      <c r="C16" s="18"/>
      <c r="D16" s="18">
        <f>Input_external!H26/Table!D37*100</f>
        <v>-11.85531648987353</v>
      </c>
      <c r="E16" s="18">
        <f>Input_external!I26/Table!E37*100</f>
        <v>-16.043957123545873</v>
      </c>
      <c r="F16" s="18">
        <f>Input_external!J26/Table!F37*100</f>
        <v>-15.356985015745572</v>
      </c>
      <c r="G16" s="18">
        <f>Input_external!K26/Table!G37*100</f>
        <v>-22.10128010482221</v>
      </c>
      <c r="H16" s="18">
        <f>Input_external!L26/Table!H37*100</f>
        <v>-26.5243790871535</v>
      </c>
      <c r="I16" s="18">
        <f>Input_external!M26/Table!I37*100</f>
        <v>-22.955499473469303</v>
      </c>
      <c r="J16" s="18">
        <f>Input_external!N26/Table!J37*100</f>
        <v>-20.173950961975272</v>
      </c>
      <c r="K16" s="18">
        <f>Input_external!O26/Table!K37*100</f>
        <v>-0.4208268083538204</v>
      </c>
      <c r="L16" s="18">
        <f>Input_external!P26/Table!L37*100</f>
        <v>-7.613319237580539</v>
      </c>
      <c r="M16" s="18">
        <f>Input_external!Q26/Table!M37*100</f>
        <v>-10.397963540003312</v>
      </c>
      <c r="N16" s="18"/>
      <c r="O16" s="18">
        <f>Input_external!R26/Table!S37*100</f>
        <v>-5.628884513488823</v>
      </c>
      <c r="P16" s="50">
        <f>Table!T16+0.5*$L$51</f>
        <v>0.24609305463531106</v>
      </c>
      <c r="Q16" s="50">
        <f>Table!U16+0.5*$L$51</f>
        <v>-0.11105814839131867</v>
      </c>
      <c r="R16" s="50">
        <f>Table!V16+0.5*$L$51</f>
        <v>-0.013021115877922096</v>
      </c>
      <c r="S16" s="50">
        <f>Table!W16+0.5*$L$51</f>
        <v>-0.06127314301569253</v>
      </c>
      <c r="T16" s="50">
        <f>Table!X16+0.5*$L$51</f>
        <v>-0.7280075144493852</v>
      </c>
      <c r="U16" s="28">
        <f>-(U20+U23)</f>
        <v>1.3408817227658312</v>
      </c>
    </row>
    <row r="17" spans="1:21" ht="12.75">
      <c r="A17">
        <f t="shared" si="2"/>
        <v>5</v>
      </c>
      <c r="B17" s="9" t="s">
        <v>66</v>
      </c>
      <c r="C17" s="42"/>
      <c r="D17" s="42">
        <f>D19-D18</f>
        <v>-9.723559635712395</v>
      </c>
      <c r="E17" s="42">
        <f>E19-E18</f>
        <v>-14.378851360356414</v>
      </c>
      <c r="F17" s="42">
        <f>F19-F18</f>
        <v>-14.361009128390478</v>
      </c>
      <c r="G17" s="42">
        <f aca="true" t="shared" si="4" ref="G17:O17">G19-G18</f>
        <v>-23.44791488962486</v>
      </c>
      <c r="H17" s="42">
        <f t="shared" si="4"/>
        <v>-27.163828920498567</v>
      </c>
      <c r="I17" s="42">
        <f t="shared" si="4"/>
        <v>-22.486412069373102</v>
      </c>
      <c r="J17" s="42">
        <f t="shared" si="4"/>
        <v>-19.224717229296974</v>
      </c>
      <c r="K17" s="42">
        <f t="shared" si="4"/>
        <v>0.6591678598914399</v>
      </c>
      <c r="L17" s="42">
        <f t="shared" si="4"/>
        <v>-6.151688824447941</v>
      </c>
      <c r="M17" s="42">
        <f t="shared" si="4"/>
        <v>-10.657318407381744</v>
      </c>
      <c r="O17" s="42">
        <f t="shared" si="4"/>
        <v>-6.516428195806682</v>
      </c>
      <c r="P17" s="42">
        <f>Table!T17-Table!T16+'B3_CAB'!P16</f>
        <v>-0.6750986643196928</v>
      </c>
      <c r="Q17" s="42">
        <f>Table!U17-Table!U16+'B3_CAB'!Q16</f>
        <v>-0.5331152257122209</v>
      </c>
      <c r="R17" s="42">
        <f>Table!V17-Table!V16+'B3_CAB'!R16</f>
        <v>0.05233708810711768</v>
      </c>
      <c r="S17" s="42">
        <f>Table!W17-Table!W16+'B3_CAB'!S16</f>
        <v>0.46159438877782755</v>
      </c>
      <c r="T17" s="42">
        <f>Table!X17-Table!X16+'B3_CAB'!T16</f>
        <v>0.9461327613221417</v>
      </c>
      <c r="U17" s="42"/>
    </row>
    <row r="18" spans="1:21" ht="12.75">
      <c r="A18">
        <f t="shared" si="2"/>
        <v>6</v>
      </c>
      <c r="B18" s="34" t="s">
        <v>103</v>
      </c>
      <c r="C18" s="18">
        <f>Input_external!G7/Table!C37*100</f>
        <v>36.53660871519481</v>
      </c>
      <c r="D18" s="18">
        <f>Input_external!H7/Table!D37*100</f>
        <v>35.25178840992306</v>
      </c>
      <c r="E18" s="18">
        <f>Input_external!I7/Table!E37*100</f>
        <v>38.35637435028463</v>
      </c>
      <c r="F18" s="18">
        <f>Input_external!J7/Table!F37*100</f>
        <v>39.92126560693624</v>
      </c>
      <c r="G18" s="18">
        <f>Input_external!K7/Table!G37*100</f>
        <v>47.31628984874926</v>
      </c>
      <c r="H18" s="18">
        <f>Input_external!L7/Table!H37*100</f>
        <v>48.87101926311921</v>
      </c>
      <c r="I18" s="18">
        <f>Input_external!M7/Table!I37*100</f>
        <v>47.266140336549824</v>
      </c>
      <c r="J18" s="18">
        <f>Input_external!N7/Table!J37*100</f>
        <v>47.800729046796604</v>
      </c>
      <c r="K18" s="18">
        <f>Input_external!O7/Table!K37*100</f>
        <v>34.91542161492573</v>
      </c>
      <c r="L18" s="18">
        <f>Input_external!P7/Table!L37*100</f>
        <v>37.74150950440462</v>
      </c>
      <c r="M18" s="18">
        <f>Input_external!Q7/Table!M37*100</f>
        <v>40.390721510732135</v>
      </c>
      <c r="N18" s="18"/>
      <c r="O18" s="18">
        <f>Table!S18</f>
        <v>35.404476074610706</v>
      </c>
      <c r="P18" s="18">
        <f>P19-P17</f>
        <v>28.418521719811068</v>
      </c>
      <c r="Q18" s="18">
        <f>Q19-Q17</f>
        <v>26.5894360252867</v>
      </c>
      <c r="R18" s="18">
        <f>R19-R17</f>
        <v>24.29139782755874</v>
      </c>
      <c r="S18" s="18">
        <f>S19-S17</f>
        <v>22.509255926255292</v>
      </c>
      <c r="T18" s="18">
        <f>T19-T17</f>
        <v>21.051937780912695</v>
      </c>
      <c r="U18" s="18"/>
    </row>
    <row r="19" spans="1:21" ht="12.75">
      <c r="A19">
        <f t="shared" si="2"/>
        <v>7</v>
      </c>
      <c r="B19" s="34" t="s">
        <v>104</v>
      </c>
      <c r="C19" s="18"/>
      <c r="D19" s="18">
        <f>-Input_external!H8/Table!D37*100</f>
        <v>25.528228774210664</v>
      </c>
      <c r="E19" s="18">
        <f>-Input_external!I8/Table!E37*100</f>
        <v>23.977522989928218</v>
      </c>
      <c r="F19" s="18">
        <f>-Input_external!J8/Table!F37*100</f>
        <v>25.56025647854576</v>
      </c>
      <c r="G19" s="18">
        <f>-Input_external!K8/Table!G37*100</f>
        <v>23.868374959124395</v>
      </c>
      <c r="H19" s="18">
        <f>-Input_external!L8/Table!H37*100</f>
        <v>21.707190342620642</v>
      </c>
      <c r="I19" s="18">
        <f>-Input_external!M8/Table!I37*100</f>
        <v>24.779728267176722</v>
      </c>
      <c r="J19" s="18">
        <f>-Input_external!N8/Table!J37*100</f>
        <v>28.57601181749963</v>
      </c>
      <c r="K19" s="18">
        <f>-Input_external!O8/Table!K37*100</f>
        <v>35.57458947481717</v>
      </c>
      <c r="L19" s="18">
        <f>-Input_external!P8/Table!L37*100</f>
        <v>31.589820679956677</v>
      </c>
      <c r="M19" s="18">
        <f>-Input_external!Q8/Table!M37*100</f>
        <v>29.73340310335039</v>
      </c>
      <c r="N19" s="18"/>
      <c r="O19" s="18">
        <f>Table!S19</f>
        <v>28.888047878804024</v>
      </c>
      <c r="P19" s="18">
        <f>Table!T19</f>
        <v>27.743423055491377</v>
      </c>
      <c r="Q19" s="18">
        <f>Table!U19</f>
        <v>26.05632079957448</v>
      </c>
      <c r="R19" s="18">
        <f>Table!V19</f>
        <v>24.34373491566586</v>
      </c>
      <c r="S19" s="18">
        <f>Table!W19</f>
        <v>22.970850315033122</v>
      </c>
      <c r="T19" s="18">
        <f>Table!X19</f>
        <v>21.99807054223484</v>
      </c>
      <c r="U19" s="18"/>
    </row>
    <row r="20" spans="1:21" ht="12.75">
      <c r="A20">
        <f t="shared" si="2"/>
        <v>8</v>
      </c>
      <c r="B20" s="15" t="s">
        <v>26</v>
      </c>
      <c r="C20" s="18"/>
      <c r="D20" s="18">
        <f>-(D21+D22)</f>
        <v>-1.7089290483771113</v>
      </c>
      <c r="E20" s="18">
        <f>-(E21+E22)</f>
        <v>-0.913597852369438</v>
      </c>
      <c r="F20" s="18">
        <f>-(F21+F22)</f>
        <v>-0.726476529600182</v>
      </c>
      <c r="G20" s="18">
        <f aca="true" t="shared" si="5" ref="G20:T20">-(G21+G22)</f>
        <v>-1.0269301236624533</v>
      </c>
      <c r="H20" s="18">
        <f t="shared" si="5"/>
        <v>-1.5005756089164308</v>
      </c>
      <c r="I20" s="18">
        <f t="shared" si="5"/>
        <v>-1.0200789581139456</v>
      </c>
      <c r="J20" s="18">
        <f t="shared" si="5"/>
        <v>-1.4500564382631769</v>
      </c>
      <c r="K20" s="18">
        <f t="shared" si="5"/>
        <v>-1.8410647364717936</v>
      </c>
      <c r="L20" s="18">
        <f t="shared" si="5"/>
        <v>-1.1817437382774247</v>
      </c>
      <c r="M20" s="18">
        <f t="shared" si="5"/>
        <v>-0.8809882228706428</v>
      </c>
      <c r="N20" s="18"/>
      <c r="O20" s="18">
        <f t="shared" si="5"/>
        <v>-0.8439007951753188</v>
      </c>
      <c r="P20" s="18">
        <f t="shared" si="5"/>
        <v>-0.9677358558458236</v>
      </c>
      <c r="Q20" s="18">
        <f t="shared" si="5"/>
        <v>-0.9240912147629262</v>
      </c>
      <c r="R20" s="18">
        <f t="shared" si="5"/>
        <v>-0.8935420334131181</v>
      </c>
      <c r="S20" s="18">
        <f t="shared" si="5"/>
        <v>-0.8585705162336255</v>
      </c>
      <c r="T20" s="18">
        <f t="shared" si="5"/>
        <v>-0.867825187332338</v>
      </c>
      <c r="U20" s="18">
        <f>T20</f>
        <v>-0.867825187332338</v>
      </c>
    </row>
    <row r="21" spans="1:21" ht="12.75">
      <c r="A21">
        <f t="shared" si="2"/>
        <v>9</v>
      </c>
      <c r="B21" s="9" t="s">
        <v>41</v>
      </c>
      <c r="C21" s="18"/>
      <c r="D21" s="18">
        <f>Input_external!H9/Table!D$37*100</f>
        <v>1.7089290483771113</v>
      </c>
      <c r="E21" s="18">
        <f>Input_external!I9/Table!E$37*100</f>
        <v>0.913597852369438</v>
      </c>
      <c r="F21" s="18">
        <f>Input_external!J9/Table!F$37*100</f>
        <v>0.726476529600182</v>
      </c>
      <c r="G21" s="18">
        <f>Input_external!K9/Table!G$37*100</f>
        <v>1.0269301236624533</v>
      </c>
      <c r="H21" s="18">
        <f>Input_external!L9/Table!H$37*100</f>
        <v>1.5005756089164308</v>
      </c>
      <c r="I21" s="18">
        <f>Input_external!M9/Table!I$37*100</f>
        <v>1.0200789581139456</v>
      </c>
      <c r="J21" s="18">
        <f>Input_external!N9/Table!J$37*100</f>
        <v>1.4500564382631769</v>
      </c>
      <c r="K21" s="18">
        <f>Input_external!O9/Table!K$37*100</f>
        <v>1.8410647364717936</v>
      </c>
      <c r="L21" s="18">
        <f>Input_external!P9/Table!L$37*100</f>
        <v>1.1817437382774247</v>
      </c>
      <c r="M21" s="18">
        <f>Input_external!Q9/Table!M$37*100</f>
        <v>0.8809882228706428</v>
      </c>
      <c r="N21" s="18"/>
      <c r="O21" s="18">
        <f>Input_external!R9/Table!S$37*100</f>
        <v>0.8439007951753188</v>
      </c>
      <c r="P21" s="18">
        <f>Input_external!S9/Table!T$37*100</f>
        <v>0.9677358558458236</v>
      </c>
      <c r="Q21" s="18">
        <f>Input_external!T9/Table!U$37*100</f>
        <v>0.9240912147629262</v>
      </c>
      <c r="R21" s="18">
        <f>Input_external!U9/Table!V$37*100</f>
        <v>0.8935420334131181</v>
      </c>
      <c r="S21" s="18">
        <f>Input_external!V9/Table!W$37*100</f>
        <v>0.8585705162336255</v>
      </c>
      <c r="T21" s="18">
        <f>Input_external!W9/Table!X$37*100</f>
        <v>0.867825187332338</v>
      </c>
      <c r="U21" s="18"/>
    </row>
    <row r="22" spans="1:21" ht="12.75">
      <c r="A22">
        <f t="shared" si="2"/>
        <v>10</v>
      </c>
      <c r="B22" s="8" t="s">
        <v>42</v>
      </c>
      <c r="C22" s="18"/>
      <c r="D22" s="18">
        <f>Input_external!H10/Table!D$37*100</f>
        <v>0</v>
      </c>
      <c r="E22" s="18">
        <f>Input_external!I10/Table!E$37*100</f>
        <v>0</v>
      </c>
      <c r="F22" s="18">
        <f>Input_external!J10/Table!F$37*100</f>
        <v>0</v>
      </c>
      <c r="G22" s="18">
        <f>Input_external!K10/Table!G$37*100</f>
        <v>0</v>
      </c>
      <c r="H22" s="18">
        <f>Input_external!L10/Table!H$37*100</f>
        <v>0</v>
      </c>
      <c r="I22" s="18">
        <f>Input_external!M10/Table!I$37*100</f>
        <v>0</v>
      </c>
      <c r="J22" s="18">
        <f>Input_external!N10/Table!J$37*100</f>
        <v>0</v>
      </c>
      <c r="K22" s="18">
        <f>Input_external!O10/Table!K$37*100</f>
        <v>0</v>
      </c>
      <c r="L22" s="18">
        <f>Input_external!P10/Table!L$37*100</f>
        <v>0</v>
      </c>
      <c r="M22" s="18">
        <f>Input_external!Q10/Table!M$37*100</f>
        <v>0</v>
      </c>
      <c r="N22" s="18"/>
      <c r="O22" s="18">
        <f>Input_external!R10/Table!S$37*100</f>
        <v>0</v>
      </c>
      <c r="P22" s="18">
        <f>Input_external!S10/Table!T$37*100</f>
        <v>0</v>
      </c>
      <c r="Q22" s="18">
        <f>Input_external!T10/Table!U$37*100</f>
        <v>0</v>
      </c>
      <c r="R22" s="18">
        <f>Input_external!U10/Table!V$37*100</f>
        <v>0</v>
      </c>
      <c r="S22" s="18">
        <f>Input_external!V10/Table!W$37*100</f>
        <v>0</v>
      </c>
      <c r="T22" s="18">
        <f>Input_external!W10/Table!X$37*100</f>
        <v>0</v>
      </c>
      <c r="U22" s="18"/>
    </row>
    <row r="23" spans="1:21" ht="12.75">
      <c r="A23">
        <f t="shared" si="2"/>
        <v>11</v>
      </c>
      <c r="B23" s="12" t="s">
        <v>30</v>
      </c>
      <c r="C23" s="18"/>
      <c r="D23" s="42">
        <f>D25+D26+D27</f>
        <v>2.7025039826432256</v>
      </c>
      <c r="E23" s="42">
        <f>E25+E26+E27</f>
        <v>-3.461302319905054</v>
      </c>
      <c r="F23" s="42">
        <f>F25+F26+F27</f>
        <v>-4.716410756223144</v>
      </c>
      <c r="G23" s="42">
        <f>G25+G26+G27</f>
        <v>-2.8490828498856278</v>
      </c>
      <c r="H23" s="42">
        <f aca="true" t="shared" si="6" ref="H23:U23">H25+H26+H27</f>
        <v>-0.15613314354244845</v>
      </c>
      <c r="I23" s="42">
        <f t="shared" si="6"/>
        <v>-0.4349350089608929</v>
      </c>
      <c r="J23" s="42">
        <f t="shared" si="6"/>
        <v>-0.8294829148231108</v>
      </c>
      <c r="K23" s="42">
        <f t="shared" si="6"/>
        <v>0.9668251315967523</v>
      </c>
      <c r="L23" s="42">
        <f t="shared" si="6"/>
        <v>-0.5165411984663174</v>
      </c>
      <c r="M23" s="42">
        <f t="shared" si="6"/>
        <v>-0.48065059750035705</v>
      </c>
      <c r="O23" s="42">
        <f t="shared" si="6"/>
        <v>0.003450561946657514</v>
      </c>
      <c r="P23" s="42">
        <f t="shared" si="6"/>
        <v>-0.031124579481484775</v>
      </c>
      <c r="Q23" s="42">
        <f t="shared" si="6"/>
        <v>-0.16493629956157319</v>
      </c>
      <c r="R23" s="42">
        <f t="shared" si="6"/>
        <v>-0.12309544344934453</v>
      </c>
      <c r="S23" s="42">
        <f t="shared" si="6"/>
        <v>-0.25929179380189504</v>
      </c>
      <c r="T23" s="42">
        <f t="shared" si="6"/>
        <v>-0.39432099217330785</v>
      </c>
      <c r="U23" s="42">
        <f t="shared" si="6"/>
        <v>-0.473056535433493</v>
      </c>
    </row>
    <row r="24" spans="1:21" ht="12.75" hidden="1">
      <c r="A24">
        <f t="shared" si="2"/>
        <v>12</v>
      </c>
      <c r="B24" s="13" t="s">
        <v>31</v>
      </c>
      <c r="C24" s="42"/>
      <c r="D24" s="42">
        <f aca="true" t="shared" si="7" ref="D24:U24">1+D38/100+D41/100+D38/100*D41/100</f>
        <v>1.0368283320039988</v>
      </c>
      <c r="E24" s="42">
        <f t="shared" si="7"/>
        <v>1.195608288821117</v>
      </c>
      <c r="F24" s="42">
        <f t="shared" si="7"/>
        <v>1.2575738033439823</v>
      </c>
      <c r="G24" s="42">
        <f t="shared" si="7"/>
        <v>1.2094693589463261</v>
      </c>
      <c r="H24" s="42">
        <f t="shared" si="7"/>
        <v>1.1362916443192785</v>
      </c>
      <c r="I24" s="42">
        <f t="shared" si="7"/>
        <v>1.145069885312269</v>
      </c>
      <c r="J24" s="42">
        <f t="shared" si="7"/>
        <v>1.278579282867286</v>
      </c>
      <c r="K24" s="42">
        <f t="shared" si="7"/>
        <v>0.8034340173500737</v>
      </c>
      <c r="L24" s="42">
        <f t="shared" si="7"/>
        <v>1.165374830908146</v>
      </c>
      <c r="M24" s="42">
        <f t="shared" si="7"/>
        <v>1.1827651780047568</v>
      </c>
      <c r="O24" s="42">
        <f t="shared" si="7"/>
        <v>1.021463589319304</v>
      </c>
      <c r="P24" s="42">
        <f t="shared" si="7"/>
        <v>1.033558136606027</v>
      </c>
      <c r="Q24" s="42">
        <f t="shared" si="7"/>
        <v>1.0484380230110855</v>
      </c>
      <c r="R24" s="42">
        <f t="shared" si="7"/>
        <v>1.0377509229309763</v>
      </c>
      <c r="S24" s="42">
        <f t="shared" si="7"/>
        <v>1.0446299709815485</v>
      </c>
      <c r="T24" s="42">
        <f t="shared" si="7"/>
        <v>1.0484064350459024</v>
      </c>
      <c r="U24" s="42">
        <f t="shared" si="7"/>
        <v>1.0484064350459024</v>
      </c>
    </row>
    <row r="25" spans="1:21" ht="12.75">
      <c r="A25">
        <v>12</v>
      </c>
      <c r="B25" s="8" t="s">
        <v>48</v>
      </c>
      <c r="C25" s="18"/>
      <c r="D25" s="18">
        <f aca="true" t="shared" si="8" ref="D25:T25">D42/100/D24*C12</f>
        <v>4.175424582117273</v>
      </c>
      <c r="E25" s="18">
        <f t="shared" si="8"/>
        <v>3.064973440207147</v>
      </c>
      <c r="F25" s="18">
        <f t="shared" si="8"/>
        <v>2.331755312748972</v>
      </c>
      <c r="G25" s="18">
        <f t="shared" si="8"/>
        <v>1.5791472656318855</v>
      </c>
      <c r="H25" s="18">
        <f t="shared" si="8"/>
        <v>1.841615520033802</v>
      </c>
      <c r="I25" s="18">
        <f t="shared" si="8"/>
        <v>0.17125413165416603</v>
      </c>
      <c r="J25" s="18">
        <f t="shared" si="8"/>
        <v>0.11064687681526249</v>
      </c>
      <c r="K25" s="18">
        <f t="shared" si="8"/>
        <v>0.12322086818905707</v>
      </c>
      <c r="L25" s="18">
        <f t="shared" si="8"/>
        <v>0.0684167427423772</v>
      </c>
      <c r="M25" s="18">
        <f t="shared" si="8"/>
        <v>0.06531171515774152</v>
      </c>
      <c r="N25" s="18"/>
      <c r="O25" s="18">
        <f>O42/100/O24*M12</f>
        <v>0.06436877297315226</v>
      </c>
      <c r="P25" s="18">
        <f t="shared" si="8"/>
        <v>0.06087522353178417</v>
      </c>
      <c r="Q25" s="18">
        <f t="shared" si="8"/>
        <v>0.15340038126898944</v>
      </c>
      <c r="R25" s="18">
        <f t="shared" si="8"/>
        <v>0.2843185401240014</v>
      </c>
      <c r="S25" s="18">
        <f t="shared" si="8"/>
        <v>0.38907116616202936</v>
      </c>
      <c r="T25" s="18">
        <f t="shared" si="8"/>
        <v>0.48739908814257493</v>
      </c>
      <c r="U25" s="18">
        <f>U42/100/U24*T12</f>
        <v>0.5847198819910499</v>
      </c>
    </row>
    <row r="26" spans="1:21" ht="12.75">
      <c r="A26">
        <f t="shared" si="2"/>
        <v>13</v>
      </c>
      <c r="B26" s="9" t="s">
        <v>32</v>
      </c>
      <c r="C26" s="18"/>
      <c r="D26" s="18">
        <f>-D38/100/D24*C12</f>
        <v>-1.8797285787410425</v>
      </c>
      <c r="E26" s="18">
        <f>-E38/100/E24*D12</f>
        <v>-2.3021162863888183</v>
      </c>
      <c r="F26" s="18">
        <f>-F38/100/F24*E12</f>
        <v>-1.422911145575965</v>
      </c>
      <c r="G26" s="18">
        <f>-G38/100/G24*F12</f>
        <v>-1.0781516543871474</v>
      </c>
      <c r="H26" s="18">
        <f aca="true" t="shared" si="9" ref="H26:U26">-H38/100/H24*G12</f>
        <v>-0.2931579075965019</v>
      </c>
      <c r="I26" s="18">
        <f t="shared" si="9"/>
        <v>-0.1253580243708515</v>
      </c>
      <c r="J26" s="18">
        <f t="shared" si="9"/>
        <v>-0.08099351382877072</v>
      </c>
      <c r="K26" s="18">
        <f t="shared" si="9"/>
        <v>-0.10467273085252374</v>
      </c>
      <c r="L26" s="18">
        <f t="shared" si="9"/>
        <v>-0.11625768034378085</v>
      </c>
      <c r="M26" s="18">
        <f t="shared" si="9"/>
        <v>-0.07379635513469245</v>
      </c>
      <c r="N26" s="18"/>
      <c r="O26" s="18">
        <f>-O38/100/O24*M12</f>
        <v>-0.08016254407766935</v>
      </c>
      <c r="P26" s="18">
        <f t="shared" si="9"/>
        <v>-0.08678337488583913</v>
      </c>
      <c r="Q26" s="18">
        <f t="shared" si="9"/>
        <v>-0.21424123112671137</v>
      </c>
      <c r="R26" s="18">
        <f t="shared" si="9"/>
        <v>-0.34855775866285993</v>
      </c>
      <c r="S26" s="18">
        <f t="shared" si="9"/>
        <v>-0.5689749985809107</v>
      </c>
      <c r="T26" s="18">
        <f t="shared" si="9"/>
        <v>-0.7274363115875402</v>
      </c>
      <c r="U26" s="18">
        <f t="shared" si="9"/>
        <v>-0.8726862331409365</v>
      </c>
    </row>
    <row r="27" spans="1:21" ht="12.75">
      <c r="A27">
        <f>A26+1</f>
        <v>14</v>
      </c>
      <c r="B27" s="9" t="s">
        <v>54</v>
      </c>
      <c r="C27" s="18"/>
      <c r="D27" s="18">
        <f>(-D41/100*(1+D38/100)+Input_external!H36/100*D39/100*(1+D42/100))/D24*C12</f>
        <v>0.4068079792669953</v>
      </c>
      <c r="E27" s="18">
        <f>(-E41/100*(1+E38/100)+Input_external!I36/100*E39/100*(1+E42/100))/E24*D12</f>
        <v>-4.2241594737233825</v>
      </c>
      <c r="F27" s="18">
        <f>(-F41/100*(1+F38/100)+Input_external!J36/100*F39/100*(1+F42/100))/F24*E12</f>
        <v>-5.6252549233961515</v>
      </c>
      <c r="G27" s="18">
        <f>(-G41/100*(1+G38/100)+Input_external!K36/100*G39/100*(1+G42/100))/G24*F12</f>
        <v>-3.350078461130366</v>
      </c>
      <c r="H27" s="18">
        <f>(-H41/100*(1+H38/100)+Input_external!L36/100*H39/100*(1+H42/100))/H24*G12</f>
        <v>-1.7045907559797486</v>
      </c>
      <c r="I27" s="18">
        <f>(-I41/100*(1+I38/100)+Input_external!M36/100*I39/100*(1+I42/100))/I24*H12</f>
        <v>-0.4808311162442074</v>
      </c>
      <c r="J27" s="18">
        <f>(-J41/100*(1+J38/100)+Input_external!N36/100*J39/100*(1+J42/100))/J24*I12</f>
        <v>-0.8591362778096026</v>
      </c>
      <c r="K27" s="18">
        <f>(-K41/100*(1+K38/100)+Input_external!O36/100*K39/100*(1+K42/100))/K24*J12</f>
        <v>0.9482769942602189</v>
      </c>
      <c r="L27" s="18">
        <f>(-L41/100*(1+L38/100)+Input_external!P36/100*L39/100*(1+L42/100))/L24*K12</f>
        <v>-0.4687002608649138</v>
      </c>
      <c r="M27" s="18">
        <f>(-M41/100*(1+M38/100)+Input_external!Q36/100*M39/100*(1+M42/100))/M24*L12</f>
        <v>-0.4721659575234061</v>
      </c>
      <c r="N27" s="18"/>
      <c r="O27" s="18">
        <f>(-O41/100*(1+O38/100)+Input_external!R36/100*O39/100*(1+O42/100))/O24*M12</f>
        <v>0.0192443330511746</v>
      </c>
      <c r="P27" s="18">
        <f>(-P41/100*(1+P38/100)+Input_external!S36/100*P39/100*(1+P42/100))/P24*O12</f>
        <v>-0.005216428127429812</v>
      </c>
      <c r="Q27" s="18">
        <f>(-Q41/100*(1+Q38/100)+Input_external!T36/100*Q39/100*(1+Q42/100))/Q24*P12</f>
        <v>-0.10409544970385128</v>
      </c>
      <c r="R27" s="18">
        <f>(-R41/100*(1+R38/100)+Input_external!U36/100*R39/100*(1+R42/100))/R24*Q12</f>
        <v>-0.058856224910485984</v>
      </c>
      <c r="S27" s="18">
        <f>(-S41/100*(1+S38/100)+Input_external!V36/100*S39/100*(1+S42/100))/S24*R12</f>
        <v>-0.07938796138301371</v>
      </c>
      <c r="T27" s="18">
        <f>(-T41/100*(1+T38/100)+Input_external!W36/100*T39/100*(1+T42/100))/T24*S12</f>
        <v>-0.15428376872834257</v>
      </c>
      <c r="U27" s="18">
        <f>(-U41/100*(1+U38/100)+Input_external!W36/100*U39/100*(1+U42/100))/U24*T12</f>
        <v>-0.18509018428360635</v>
      </c>
    </row>
    <row r="28" spans="1:21" ht="12.75">
      <c r="A28">
        <f>A26+1</f>
        <v>14</v>
      </c>
      <c r="B28" s="11" t="s">
        <v>43</v>
      </c>
      <c r="C28" s="18"/>
      <c r="D28" s="18">
        <f>D14-D15</f>
        <v>9.284875787211469</v>
      </c>
      <c r="E28" s="18">
        <f>E14-E15</f>
        <v>14.94041933057899</v>
      </c>
      <c r="F28" s="18">
        <f>F14-F15</f>
        <v>11.956488989047685</v>
      </c>
      <c r="G28" s="18">
        <f aca="true" t="shared" si="10" ref="G28:M28">G14-G15</f>
        <v>17.064478488858914</v>
      </c>
      <c r="H28" s="18">
        <f t="shared" si="10"/>
        <v>16.310233749188242</v>
      </c>
      <c r="I28" s="18">
        <f t="shared" si="10"/>
        <v>23.94058302207131</v>
      </c>
      <c r="J28" s="18">
        <f t="shared" si="10"/>
        <v>21.586736873311203</v>
      </c>
      <c r="K28" s="18">
        <f t="shared" si="10"/>
        <v>1.9690825205765923</v>
      </c>
      <c r="L28" s="18">
        <f t="shared" si="10"/>
        <v>8.722678062036529</v>
      </c>
      <c r="M28" s="18">
        <f t="shared" si="10"/>
        <v>10.901774563416097</v>
      </c>
      <c r="N28" s="18"/>
      <c r="O28" s="49">
        <f>Table!S28</f>
        <v>6.308554552683894</v>
      </c>
      <c r="P28" s="49">
        <f>Table!T28</f>
        <v>4.638193531982681</v>
      </c>
      <c r="Q28" s="49">
        <f>Table!U28</f>
        <v>4.974795655970965</v>
      </c>
      <c r="R28" s="49">
        <f>Table!V28</f>
        <v>4.803629927558364</v>
      </c>
      <c r="S28" s="49">
        <f>Table!W28</f>
        <v>4.841192091697808</v>
      </c>
      <c r="T28" s="49">
        <f>Table!X28</f>
        <v>5.506558273921945</v>
      </c>
      <c r="U28" s="18">
        <v>0</v>
      </c>
    </row>
    <row r="29" spans="2:21" ht="12.75">
      <c r="B29" s="7"/>
      <c r="C29" s="7"/>
      <c r="D29" s="31"/>
      <c r="E29" s="31"/>
      <c r="F29" s="31"/>
      <c r="G29" s="31"/>
      <c r="H29" s="31"/>
      <c r="I29" s="31"/>
      <c r="U29" s="42"/>
    </row>
    <row r="30" spans="2:21" ht="12.75">
      <c r="B30" t="s">
        <v>28</v>
      </c>
      <c r="C30" s="19">
        <f aca="true" t="shared" si="11" ref="C30:T30">C12/C18*100</f>
        <v>113.49478546930776</v>
      </c>
      <c r="D30" s="19">
        <f t="shared" si="11"/>
        <v>113.15817355651112</v>
      </c>
      <c r="E30" s="19">
        <f t="shared" si="11"/>
        <v>89.7160968113715</v>
      </c>
      <c r="F30" s="19">
        <f t="shared" si="11"/>
        <v>64.04721454639892</v>
      </c>
      <c r="G30" s="19">
        <f t="shared" si="11"/>
        <v>35.2006552006552</v>
      </c>
      <c r="H30" s="19">
        <f t="shared" si="11"/>
        <v>9.790648988136777</v>
      </c>
      <c r="I30" s="19">
        <f t="shared" si="11"/>
        <v>9.128859483301827</v>
      </c>
      <c r="J30" s="19">
        <f t="shared" si="11"/>
        <v>7.213501052207485</v>
      </c>
      <c r="K30" s="19">
        <f t="shared" si="11"/>
        <v>11.806021549913401</v>
      </c>
      <c r="L30" s="19">
        <f t="shared" si="11"/>
        <v>9.361565380423272</v>
      </c>
      <c r="M30" s="19">
        <f t="shared" si="11"/>
        <v>6.623719980204909</v>
      </c>
      <c r="N30" s="19"/>
      <c r="O30" s="19">
        <f t="shared" si="11"/>
        <v>7.102458151117677</v>
      </c>
      <c r="P30" s="19">
        <f t="shared" si="11"/>
        <v>22.52057412138652</v>
      </c>
      <c r="Q30" s="19">
        <f t="shared" si="11"/>
        <v>38.26604006076438</v>
      </c>
      <c r="R30" s="19">
        <f t="shared" si="11"/>
        <v>57.422366860916604</v>
      </c>
      <c r="S30" s="19">
        <f t="shared" si="11"/>
        <v>78.23782479762261</v>
      </c>
      <c r="T30" s="19">
        <f t="shared" si="11"/>
        <v>100.35730209099572</v>
      </c>
      <c r="U30" s="19"/>
    </row>
    <row r="31" spans="2:21" ht="12.75">
      <c r="B31" s="7"/>
      <c r="C31" s="7"/>
      <c r="D31" s="31"/>
      <c r="E31" s="31"/>
      <c r="F31" s="31"/>
      <c r="G31" s="31"/>
      <c r="H31" s="31"/>
      <c r="I31" s="31"/>
      <c r="U31" s="42"/>
    </row>
    <row r="32" spans="2:21" ht="12.75">
      <c r="B32" s="48" t="s">
        <v>76</v>
      </c>
      <c r="C32" s="7"/>
      <c r="D32" s="19">
        <f>Input_external!H27</f>
        <v>-0.8771599999999999</v>
      </c>
      <c r="E32" s="19">
        <f>Input_external!I27</f>
        <v>-4.751099999999999</v>
      </c>
      <c r="F32" s="19">
        <f>Input_external!J27</f>
        <v>-6.174078</v>
      </c>
      <c r="G32" s="19">
        <f>Input_external!K27</f>
        <v>-15.4545</v>
      </c>
      <c r="H32" s="19">
        <f>Input_external!L27</f>
        <v>-14.290199999999999</v>
      </c>
      <c r="I32" s="19">
        <f>Input_external!M27</f>
        <v>-29.25</v>
      </c>
      <c r="J32" s="19">
        <f>Input_external!N27</f>
        <v>-32.552195</v>
      </c>
      <c r="K32" s="19">
        <f>Input_external!O27</f>
        <v>0.9994119999999901</v>
      </c>
      <c r="L32" s="19">
        <f>Input_external!P27</f>
        <v>-9.66064582097</v>
      </c>
      <c r="M32" s="19">
        <f>Input_external!Q27</f>
        <v>-17.14824545487104</v>
      </c>
      <c r="N32" s="19"/>
      <c r="O32" s="35">
        <f aca="true" t="shared" si="12" ref="O32:T32">O71</f>
        <v>-9.961855854721192</v>
      </c>
      <c r="P32" s="35">
        <f t="shared" si="12"/>
        <v>2.486794867826702</v>
      </c>
      <c r="Q32" s="35">
        <f t="shared" si="12"/>
        <v>2.7114022595179534</v>
      </c>
      <c r="R32" s="35">
        <f t="shared" si="12"/>
        <v>4.929323307695553</v>
      </c>
      <c r="S32" s="35">
        <f t="shared" si="12"/>
        <v>5.96500565984622</v>
      </c>
      <c r="T32" s="35">
        <f t="shared" si="12"/>
        <v>6.262792572954067</v>
      </c>
      <c r="U32" s="52"/>
    </row>
    <row r="33" spans="2:21" ht="12.75">
      <c r="B33" s="12" t="s">
        <v>38</v>
      </c>
      <c r="C33" s="7"/>
      <c r="D33" s="19">
        <f aca="true" t="shared" si="13" ref="D33:T33">D32/D37*100</f>
        <v>-1.5453651588396569</v>
      </c>
      <c r="E33" s="19">
        <f t="shared" si="13"/>
        <v>-7.00095928450393</v>
      </c>
      <c r="F33" s="19">
        <f t="shared" si="13"/>
        <v>-7.2343915466465045</v>
      </c>
      <c r="G33" s="19">
        <f t="shared" si="13"/>
        <v>-14.97235056239753</v>
      </c>
      <c r="H33" s="19">
        <f t="shared" si="13"/>
        <v>-12.183821344623622</v>
      </c>
      <c r="I33" s="19">
        <f t="shared" si="13"/>
        <v>-21.77905804732329</v>
      </c>
      <c r="J33" s="19">
        <f t="shared" si="13"/>
        <v>-18.956835317007386</v>
      </c>
      <c r="K33" s="19">
        <f t="shared" si="13"/>
        <v>0.7244024371680038</v>
      </c>
      <c r="L33" s="19">
        <f t="shared" si="13"/>
        <v>-6.00863563507751</v>
      </c>
      <c r="M33" s="19">
        <f t="shared" si="13"/>
        <v>-9.017597987456698</v>
      </c>
      <c r="N33" s="19"/>
      <c r="O33" s="19">
        <f t="shared" si="13"/>
        <v>-5.128478529678023</v>
      </c>
      <c r="P33" s="19">
        <f t="shared" si="13"/>
        <v>1.2386635005089606</v>
      </c>
      <c r="Q33" s="19">
        <f t="shared" si="13"/>
        <v>1.2881444565125233</v>
      </c>
      <c r="R33" s="19">
        <f t="shared" si="13"/>
        <v>2.256653036519434</v>
      </c>
      <c r="S33" s="19">
        <f t="shared" si="13"/>
        <v>2.6141220792478714</v>
      </c>
      <c r="T33" s="19">
        <f t="shared" si="13"/>
        <v>2.6179018201788815</v>
      </c>
      <c r="U33" s="19"/>
    </row>
    <row r="34" spans="2:21" ht="12.75">
      <c r="B34" s="7"/>
      <c r="C34" s="7"/>
      <c r="D34" s="31"/>
      <c r="E34" s="31"/>
      <c r="F34" s="31"/>
      <c r="G34" s="31"/>
      <c r="H34" s="31"/>
      <c r="I34" s="31"/>
      <c r="U34" s="22" t="s">
        <v>131</v>
      </c>
    </row>
    <row r="35" spans="2:21" ht="12.75">
      <c r="B35" s="48" t="s">
        <v>46</v>
      </c>
      <c r="C35" s="14"/>
      <c r="D35" s="39"/>
      <c r="E35" s="39"/>
      <c r="F35" s="39"/>
      <c r="G35" s="39"/>
      <c r="H35" s="39"/>
      <c r="I35" s="39"/>
      <c r="J35" s="39"/>
      <c r="U35" s="30" t="s">
        <v>132</v>
      </c>
    </row>
    <row r="36" spans="2:21" ht="12.75">
      <c r="B36" s="5"/>
      <c r="C36" s="5"/>
      <c r="D36" s="32"/>
      <c r="E36" s="32"/>
      <c r="F36" s="32"/>
      <c r="G36" s="32"/>
      <c r="H36" s="32"/>
      <c r="I36" s="32"/>
      <c r="J36" s="28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2:21" ht="12.75">
      <c r="B37" s="5" t="s">
        <v>75</v>
      </c>
      <c r="C37" s="18">
        <f>IF(ISNUMBER(Input_external!G$11),Input_external!G$11,".")</f>
        <v>54.74454445379784</v>
      </c>
      <c r="D37" s="18">
        <f>IF(ISNUMBER(Input_external!H$11),Input_external!H$11,".")</f>
        <v>56.76069471234998</v>
      </c>
      <c r="E37" s="18">
        <f>IF(ISNUMBER(Input_external!I$11),Input_external!I$11,".")</f>
        <v>67.86355707733058</v>
      </c>
      <c r="F37" s="18">
        <f>IF(ISNUMBER(Input_external!J$11),Input_external!J$11,".")</f>
        <v>85.34343158219005</v>
      </c>
      <c r="G37" s="18">
        <f>IF(ISNUMBER(Input_external!K$11),Input_external!K$11,".")</f>
        <v>103.22026548599102</v>
      </c>
      <c r="H37" s="18">
        <f>IF(ISNUMBER(Input_external!L$11),Input_external!L$11,".")</f>
        <v>117.28832519614924</v>
      </c>
      <c r="I37" s="18">
        <f>IF(ISNUMBER(Input_external!M$11),Input_external!M$11,".")</f>
        <v>134.30332908082272</v>
      </c>
      <c r="J37" s="18">
        <f>IF(ISNUMBER(Input_external!N$11),Input_external!N$11,".")</f>
        <v>171.71745418284743</v>
      </c>
      <c r="K37" s="42">
        <f>IF(ISNUMBER(Input_external!O$11),Input_external!O$11,".")</f>
        <v>137.96364406325236</v>
      </c>
      <c r="L37" s="42">
        <f>IF(ISNUMBER(Input_external!P$11),Input_external!P$11,".")</f>
        <v>160.77935837168434</v>
      </c>
      <c r="M37" s="42">
        <f>IF(ISNUMBER(Input_external!Q$11),Input_external!Q$11,".")</f>
        <v>190.16422642397583</v>
      </c>
      <c r="O37" s="42">
        <f>M37*(1+O38/100)*(1+O41/100)</f>
        <v>194.24583328316322</v>
      </c>
      <c r="P37" s="42">
        <f aca="true" t="shared" si="14" ref="P37:U37">O37*(1+P38/100)*(1+P41/100)</f>
        <v>200.76436149163112</v>
      </c>
      <c r="Q37" s="42">
        <f t="shared" si="14"/>
        <v>210.48899025336863</v>
      </c>
      <c r="R37" s="42">
        <f t="shared" si="14"/>
        <v>218.43514390224257</v>
      </c>
      <c r="S37" s="42">
        <f t="shared" si="14"/>
        <v>228.18389803595005</v>
      </c>
      <c r="T37" s="42">
        <f t="shared" si="14"/>
        <v>239.22946707474804</v>
      </c>
      <c r="U37" s="42">
        <f t="shared" si="14"/>
        <v>250.80971273376767</v>
      </c>
    </row>
    <row r="38" spans="2:21" ht="12.75">
      <c r="B38" s="5" t="s">
        <v>44</v>
      </c>
      <c r="C38" s="5"/>
      <c r="D38" s="18">
        <f>(Input_external!H13/Input_external!G13-1)*100</f>
        <v>4.699999999999993</v>
      </c>
      <c r="E38" s="18">
        <f>(Input_external!I13/Input_external!H13-1)*100</f>
        <v>6.899999999999995</v>
      </c>
      <c r="F38" s="18">
        <f>(Input_external!J13/Input_external!I13-1)*100</f>
        <v>5.199999999999916</v>
      </c>
      <c r="G38" s="18">
        <f>(Input_external!K13/Input_external!J13-1)*100</f>
        <v>5.100000000000082</v>
      </c>
      <c r="H38" s="18">
        <f>(Input_external!L13/Input_external!K13-1)*100</f>
        <v>2.0000000000000684</v>
      </c>
      <c r="I38" s="18">
        <f>(Input_external!M13/Input_external!L13-1)*100</f>
        <v>3.000000000000047</v>
      </c>
      <c r="J38" s="18">
        <f>(Input_external!N13/Input_external!M13-1)*100</f>
        <v>2.3999999999999577</v>
      </c>
      <c r="K38" s="42">
        <f>(Input_external!O13/Input_external!N13-1)*100</f>
        <v>2.4389514241625054</v>
      </c>
      <c r="L38" s="42">
        <f>(Input_external!P13/Input_external!O13-1)*100</f>
        <v>3.286748135925688</v>
      </c>
      <c r="M38" s="42">
        <f>(Input_external!Q13/Input_external!P13-1)*100</f>
        <v>2.4703910269243456</v>
      </c>
      <c r="O38" s="42">
        <f>(Input_external!R13/Input_external!Q13-1)*100</f>
        <v>3.060629831131245</v>
      </c>
      <c r="P38" s="42">
        <f>(Input_external!S13/Input_external!R13-1)*100</f>
        <v>3.567012161902805</v>
      </c>
      <c r="Q38" s="42">
        <f>(Input_external!T13/Input_external!S13-1)*100</f>
        <v>3.5096586367163063</v>
      </c>
      <c r="R38" s="42">
        <f>(Input_external!U13/Input_external!T13-1)*100</f>
        <v>3.5550460844580023</v>
      </c>
      <c r="S38" s="42">
        <f>(Input_external!V13/Input_external!U13-1)*100</f>
        <v>4.2611033627514505</v>
      </c>
      <c r="T38" s="42">
        <f>(Input_external!W13/Input_external!V13-1)*100</f>
        <v>4.330586796355673</v>
      </c>
      <c r="U38" s="42">
        <f>T38</f>
        <v>4.330586796355673</v>
      </c>
    </row>
    <row r="39" spans="2:21" ht="12.75">
      <c r="B39" s="11" t="s">
        <v>53</v>
      </c>
      <c r="C39" s="11"/>
      <c r="D39" s="18">
        <f>Input_external!H33</f>
        <v>-3.0959352123882455</v>
      </c>
      <c r="E39" s="18">
        <f>Input_external!I33</f>
        <v>2.954842044059691</v>
      </c>
      <c r="F39" s="18">
        <f>Input_external!J33</f>
        <v>7.3956536641074155</v>
      </c>
      <c r="G39" s="18">
        <f>Input_external!K33</f>
        <v>-1.652660131054151</v>
      </c>
      <c r="H39" s="18">
        <f>Input_external!L33</f>
        <v>0.8667873268701332</v>
      </c>
      <c r="I39" s="18">
        <f>Input_external!M33</f>
        <v>4.840670357307153</v>
      </c>
      <c r="J39" s="18">
        <f>Input_external!N33</f>
        <v>7.292344091615721</v>
      </c>
      <c r="K39" s="18">
        <f>Input_external!O33</f>
        <v>-11.203078746447526</v>
      </c>
      <c r="L39" s="18">
        <f>Input_external!P33</f>
        <v>-2.9526164307339897</v>
      </c>
      <c r="M39" s="18">
        <f>Input_external!Q33</f>
        <v>3.084047038887072</v>
      </c>
      <c r="N39" s="18"/>
      <c r="O39" s="18">
        <f>Input_external!R33</f>
        <v>-2.3437633368933453</v>
      </c>
      <c r="P39" s="18">
        <f>Input_external!S33</f>
        <v>-2.088832794258577</v>
      </c>
      <c r="Q39" s="18">
        <f>Input_external!T33</f>
        <v>-1.7548474059878805</v>
      </c>
      <c r="R39" s="18">
        <f>Input_external!U33</f>
        <v>-1.716177295824528</v>
      </c>
      <c r="S39" s="18">
        <f>Input_external!V33</f>
        <v>-1.6847996711095492</v>
      </c>
      <c r="T39" s="18">
        <f>Input_external!W33</f>
        <v>-1.6715830875122517</v>
      </c>
      <c r="U39" s="42">
        <f>T39</f>
        <v>-1.6715830875122517</v>
      </c>
    </row>
    <row r="40" spans="2:21" ht="12.75">
      <c r="B40" s="11" t="s">
        <v>64</v>
      </c>
      <c r="C40" s="11"/>
      <c r="D40" s="18">
        <f>Input_external!H34</f>
        <v>2.1923014274317643</v>
      </c>
      <c r="E40" s="18">
        <f>Input_external!I34</f>
        <v>8.63366592530288</v>
      </c>
      <c r="F40" s="18">
        <f>Input_external!J34</f>
        <v>11.309193604047806</v>
      </c>
      <c r="G40" s="18">
        <f>Input_external!K34</f>
        <v>17.01176675561664</v>
      </c>
      <c r="H40" s="18">
        <f>Input_external!L34</f>
        <v>10.443828491256802</v>
      </c>
      <c r="I40" s="18">
        <f>Input_external!M34</f>
        <v>6.038842699668545</v>
      </c>
      <c r="J40" s="18">
        <f>Input_external!N34</f>
        <v>16.37480674845806</v>
      </c>
      <c r="K40" s="18">
        <f>Input_external!O34</f>
        <v>-11.674280643559175</v>
      </c>
      <c r="L40" s="18">
        <f>Input_external!P34</f>
        <v>16.26184179685266</v>
      </c>
      <c r="M40" s="18">
        <f>Input_external!Q34</f>
        <v>11.97180418387267</v>
      </c>
      <c r="N40" s="18"/>
      <c r="O40" s="18">
        <f>Input_external!R34</f>
        <v>1.4916035372531944</v>
      </c>
      <c r="P40" s="18">
        <f>Input_external!S34</f>
        <v>1.9251208601722025</v>
      </c>
      <c r="Q40" s="18">
        <f>Input_external!T34</f>
        <v>3.0981221359417166</v>
      </c>
      <c r="R40" s="18">
        <f>Input_external!U34</f>
        <v>1.9623466631461417</v>
      </c>
      <c r="S40" s="18">
        <f>Input_external!V34</f>
        <v>1.9106324312814449</v>
      </c>
      <c r="T40" s="18">
        <f>Input_external!W34</f>
        <v>2.197196160975312</v>
      </c>
      <c r="U40" s="42">
        <f>T40</f>
        <v>2.197196160975312</v>
      </c>
    </row>
    <row r="41" spans="2:21" s="24" customFormat="1" ht="12.75">
      <c r="B41" s="36" t="s">
        <v>65</v>
      </c>
      <c r="C41" s="36"/>
      <c r="D41" s="37">
        <f>((1+D39/100)*(1+D40/100)-1)*100</f>
        <v>-0.9715060168100309</v>
      </c>
      <c r="E41" s="37">
        <f aca="true" t="shared" si="15" ref="E41:T41">((1+E39/100)*(1+E40/100)-1)*100</f>
        <v>11.843619160067087</v>
      </c>
      <c r="F41" s="37">
        <f t="shared" si="15"/>
        <v>19.541236059313995</v>
      </c>
      <c r="G41" s="37">
        <f t="shared" si="15"/>
        <v>15.077959937804497</v>
      </c>
      <c r="H41" s="37">
        <f t="shared" si="15"/>
        <v>11.401141599929199</v>
      </c>
      <c r="I41" s="37">
        <f t="shared" si="15"/>
        <v>11.17183352546296</v>
      </c>
      <c r="J41" s="37">
        <f t="shared" si="15"/>
        <v>24.861258092508454</v>
      </c>
      <c r="K41" s="37">
        <f t="shared" si="15"/>
        <v>-21.569480536427488</v>
      </c>
      <c r="L41" s="37">
        <f t="shared" si="15"/>
        <v>12.82907555328483</v>
      </c>
      <c r="M41" s="37">
        <f t="shared" si="15"/>
        <v>15.425067295193816</v>
      </c>
      <c r="N41" s="37"/>
      <c r="O41" s="37">
        <f t="shared" si="15"/>
        <v>-0.8871194564780915</v>
      </c>
      <c r="P41" s="37">
        <f t="shared" si="15"/>
        <v>-0.2039244899427639</v>
      </c>
      <c r="Q41" s="37">
        <f t="shared" si="15"/>
        <v>1.2889074140169265</v>
      </c>
      <c r="R41" s="37">
        <f t="shared" si="15"/>
        <v>0.21249201942332707</v>
      </c>
      <c r="S41" s="37">
        <f t="shared" si="15"/>
        <v>0.19364243125354896</v>
      </c>
      <c r="T41" s="37">
        <f t="shared" si="15"/>
        <v>0.4888851140367301</v>
      </c>
      <c r="U41" s="42">
        <f>T41</f>
        <v>0.4888851140367301</v>
      </c>
    </row>
    <row r="42" spans="2:21" ht="12.75">
      <c r="B42" s="11" t="s">
        <v>45</v>
      </c>
      <c r="C42" s="11"/>
      <c r="D42" s="18">
        <f>IF(ISNUMBER(100*Input_external!H5/Input_external!G4),(100*Input_external!H5/Input_external!G4),".")</f>
        <v>10.440068719439672</v>
      </c>
      <c r="E42" s="18">
        <f>IF(ISNUMBER(100*Input_external!I5/Input_external!H4),(100*Input_external!I5/Input_external!H4),".")</f>
        <v>9.186467626534759</v>
      </c>
      <c r="F42" s="18">
        <f>IF(ISNUMBER(100*Input_external!J5/Input_external!I4),(100*Input_external!J5/Input_external!I4),".")</f>
        <v>8.52135262556149</v>
      </c>
      <c r="G42" s="18">
        <f>IF(ISNUMBER(100*Input_external!K5/Input_external!J4),(100*Input_external!K5/Input_external!J4),".")</f>
        <v>7.469868475321937</v>
      </c>
      <c r="H42" s="18">
        <f>IF(ISNUMBER(100*Input_external!L5/Input_external!K4),(100*Input_external!L5/Input_external!K4),".")</f>
        <v>12.563983248022335</v>
      </c>
      <c r="I42" s="18">
        <f>IF(ISNUMBER(100*Input_external!M5/Input_external!L4),(100*Input_external!M5/Input_external!L4),".")</f>
        <v>4.098360655737705</v>
      </c>
      <c r="J42" s="18">
        <f>IF(ISNUMBER(100*Input_external!N5/Input_external!M4),(100*Input_external!N5/Input_external!M4),".")</f>
        <v>3.278688524590164</v>
      </c>
      <c r="K42" s="42">
        <f>IF(ISNUMBER(100*Input_external!O5/Input_external!N4),(100*Input_external!O5/Input_external!N4),".")</f>
        <v>2.8711366323256207</v>
      </c>
      <c r="L42" s="42">
        <f>IF(ISNUMBER(100*Input_external!P5/Input_external!O4),(100*Input_external!P5/Input_external!O4),".")</f>
        <v>1.9342257733825916</v>
      </c>
      <c r="M42" s="42">
        <f>IF(ISNUMBER(100*Input_external!Q5/Input_external!P4),(100*Input_external!Q5/Input_external!P4),".")</f>
        <v>2.18636103076144</v>
      </c>
      <c r="O42" s="42">
        <f>IF(ISNUMBER(100*Input_external!R5/Input_external!Q4),(100*Input_external!R5/Input_external!Q4),".")</f>
        <v>2.457618941884664</v>
      </c>
      <c r="P42" s="42">
        <f>IF(ISNUMBER(100*Input_external!S5/Input_external!R4),(100*Input_external!S5/Input_external!R4),".")</f>
        <v>2.502122819976412</v>
      </c>
      <c r="Q42" s="42">
        <f>IF(ISNUMBER(100*Input_external!T5/Input_external!S4),(100*Input_external!T5/Input_external!S4),".")</f>
        <v>2.5129755377379275</v>
      </c>
      <c r="R42" s="42">
        <f>IF(ISNUMBER(100*Input_external!U5/Input_external!T4),(100*Input_external!U5/Input_external!T4),".")</f>
        <v>2.8998508502124674</v>
      </c>
      <c r="S42" s="42">
        <f>IF(ISNUMBER(100*Input_external!V5/Input_external!U4),(100*Input_external!V5/Input_external!U4),".")</f>
        <v>2.9137878792874496</v>
      </c>
      <c r="T42" s="42">
        <f>IF(ISNUMBER(100*Input_external!W5/Input_external!V4),(100*Input_external!W5/Input_external!V4),".")</f>
        <v>2.901592925791173</v>
      </c>
      <c r="U42" s="42">
        <f>T42</f>
        <v>2.901592925791173</v>
      </c>
    </row>
    <row r="43" spans="2:20" ht="12.75">
      <c r="B43" s="11" t="s">
        <v>69</v>
      </c>
      <c r="C43" s="11"/>
      <c r="D43" s="18">
        <f>(Input_external!H7/Input_external!G7-1)*100</f>
        <v>0.03679668829805749</v>
      </c>
      <c r="E43" s="18">
        <f>(Input_external!I7/Input_external!H7-1)*100</f>
        <v>30.09041858828656</v>
      </c>
      <c r="F43" s="18">
        <f>(Input_external!J7/Input_external!I7-1)*100</f>
        <v>30.88812139838646</v>
      </c>
      <c r="G43" s="18">
        <f>(Input_external!K7/Input_external!J7-1)*100</f>
        <v>43.351173568861334</v>
      </c>
      <c r="H43" s="18">
        <f>(Input_external!L7/Input_external!K7-1)*100</f>
        <v>17.362817362817353</v>
      </c>
      <c r="I43" s="18">
        <f>(Input_external!M7/Input_external!L7-1)*100</f>
        <v>10.746685275645484</v>
      </c>
      <c r="J43" s="18">
        <f>(Input_external!N7/Input_external!M7-1)*100</f>
        <v>29.304024889729053</v>
      </c>
      <c r="K43" s="42">
        <f>(Input_external!O7/Input_external!N7-1)*100</f>
        <v>-41.31420583964647</v>
      </c>
      <c r="L43" s="42">
        <f>(Input_external!P7/Input_external!O7-1)*100</f>
        <v>25.970139332677444</v>
      </c>
      <c r="M43" s="42">
        <f>(Input_external!Q7/Input_external!P7-1)*100</f>
        <v>26.57877107911211</v>
      </c>
      <c r="O43" s="42">
        <f>(Input_external!R7/Input_external!Q7-1)*100</f>
        <v>-8.314751312826118</v>
      </c>
      <c r="P43" s="42">
        <f>(Input_external!S7/Input_external!R7-1)*100</f>
        <v>-3.3885534213677904</v>
      </c>
      <c r="Q43" s="42">
        <f>(Input_external!T7/Input_external!S7-1)*100</f>
        <v>0.6925607957811497</v>
      </c>
      <c r="R43" s="42">
        <f>(Input_external!U7/Input_external!T7-1)*100</f>
        <v>-2.349152716427272</v>
      </c>
      <c r="S43" s="42">
        <f>(Input_external!V7/Input_external!U7-1)*100</f>
        <v>-0.4436811669179752</v>
      </c>
      <c r="T43" s="42">
        <f>(Input_external!W7/Input_external!V7-1)*100</f>
        <v>0.7579990791025448</v>
      </c>
    </row>
    <row r="44" spans="2:20" ht="12.75">
      <c r="B44" s="11" t="s">
        <v>70</v>
      </c>
      <c r="C44" s="11"/>
      <c r="D44" s="18">
        <f>(Input_external!H8/Input_external!G8-1)*100</f>
        <v>21.540010065425253</v>
      </c>
      <c r="E44" s="18">
        <f>(Input_external!I8/Input_external!H8-1)*100</f>
        <v>12.298136645962732</v>
      </c>
      <c r="F44" s="18">
        <f>(Input_external!J8/Input_external!I8-1)*100</f>
        <v>34.05850540806294</v>
      </c>
      <c r="G44" s="18">
        <f>(Input_external!K8/Input_external!J8-1)*100</f>
        <v>12.941230402493819</v>
      </c>
      <c r="H44" s="18">
        <f>(Input_external!L8/Input_external!K8-1)*100</f>
        <v>3.340504119819787</v>
      </c>
      <c r="I44" s="18">
        <f>(Input_external!M8/Input_external!L8-1)*100</f>
        <v>30.714846818538888</v>
      </c>
      <c r="J44" s="18">
        <f>(Input_external!N8/Input_external!M8-1)*100</f>
        <v>47.44591346153846</v>
      </c>
      <c r="K44" s="42">
        <f>(Input_external!O8/Input_external!N8-1)*100</f>
        <v>0.020379050336249982</v>
      </c>
      <c r="L44" s="42">
        <f>(Input_external!P8/Input_external!O8-1)*100</f>
        <v>3.4839262428687734</v>
      </c>
      <c r="M44" s="42">
        <f>(Input_external!Q8/Input_external!P8-1)*100</f>
        <v>11.325841860618159</v>
      </c>
      <c r="O44" s="42">
        <f>(Input_external!R8/Input_external!Q8-1)*100</f>
        <v>1.6240463094898239</v>
      </c>
      <c r="P44" s="42">
        <f>(Input_external!S8/Input_external!R8-1)*100</f>
        <v>1.3781896600373544</v>
      </c>
      <c r="Q44" s="42">
        <f>(Input_external!T8/Input_external!S8-1)*100</f>
        <v>0.22698804068845835</v>
      </c>
      <c r="R44" s="42">
        <f>(Input_external!U8/Input_external!T8-1)*100</f>
        <v>-1.3526992764481216</v>
      </c>
      <c r="S44" s="42">
        <f>(Input_external!V8/Input_external!U8-1)*100</f>
        <v>0.2609175789251905</v>
      </c>
      <c r="T44" s="42">
        <f>(Input_external!W8/Input_external!V8-1)*100</f>
        <v>2.1076190543933393</v>
      </c>
    </row>
    <row r="45" spans="2:3" ht="12.75">
      <c r="B45" s="11"/>
      <c r="C45" s="11"/>
    </row>
    <row r="46" spans="2:20" ht="12.75">
      <c r="B46" s="140" t="s">
        <v>177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</row>
    <row r="47" spans="4:9" ht="12.75">
      <c r="D47" s="1"/>
      <c r="E47" s="1"/>
      <c r="F47" s="28"/>
      <c r="G47" s="28"/>
      <c r="H47" s="28"/>
      <c r="I47" s="28"/>
    </row>
    <row r="48" spans="2:12" ht="12.75">
      <c r="B48" s="1" t="s">
        <v>56</v>
      </c>
      <c r="C48" s="16"/>
      <c r="J48" s="38" t="s">
        <v>57</v>
      </c>
      <c r="L48" s="38" t="s">
        <v>59</v>
      </c>
    </row>
    <row r="49" spans="10:12" ht="12.75">
      <c r="J49" s="20" t="s">
        <v>58</v>
      </c>
      <c r="L49" s="20" t="s">
        <v>60</v>
      </c>
    </row>
    <row r="50" spans="10:12" ht="12.75">
      <c r="J50" s="21"/>
      <c r="L50" s="21"/>
    </row>
    <row r="51" spans="2:12" ht="12.75">
      <c r="B51" t="s">
        <v>61</v>
      </c>
      <c r="J51" s="42">
        <f>-Table!O45</f>
        <v>-15.344347784252289</v>
      </c>
      <c r="L51" s="42">
        <f>Table!Q45</f>
        <v>7.968785501420509</v>
      </c>
    </row>
    <row r="52" spans="2:12" ht="12.75">
      <c r="B52" t="s">
        <v>62</v>
      </c>
      <c r="J52" s="42">
        <f>Table!O46</f>
        <v>1.22504412569226</v>
      </c>
      <c r="L52" s="19" t="s">
        <v>71</v>
      </c>
    </row>
    <row r="53" spans="2:14" ht="12.75">
      <c r="B53" t="s">
        <v>63</v>
      </c>
      <c r="J53" s="42">
        <f>Table!O42</f>
        <v>6.255051331167772</v>
      </c>
      <c r="K53" s="40"/>
      <c r="L53" s="42">
        <f>Table!Q42</f>
        <v>3.8399479075665797</v>
      </c>
      <c r="M53" s="40"/>
      <c r="N53" s="40"/>
    </row>
    <row r="54" spans="2:12" ht="12.75">
      <c r="B54" t="s">
        <v>44</v>
      </c>
      <c r="D54" s="1"/>
      <c r="E54" s="1"/>
      <c r="F54" s="28"/>
      <c r="G54" s="28"/>
      <c r="H54" s="28"/>
      <c r="I54" s="28"/>
      <c r="J54" s="42">
        <f>Table!O38</f>
        <v>3.7496090587012603</v>
      </c>
      <c r="L54" s="42">
        <f>Table!Q38</f>
        <v>1.6250931000133242</v>
      </c>
    </row>
    <row r="55" spans="2:12" ht="12.75">
      <c r="B55" s="36" t="s">
        <v>65</v>
      </c>
      <c r="J55" s="42">
        <f>Table!O41</f>
        <v>9.961020467032732</v>
      </c>
      <c r="L55" s="42">
        <f>Table!Q41</f>
        <v>12.90494760066813</v>
      </c>
    </row>
    <row r="57" spans="2:20" ht="12.75">
      <c r="B57" s="3"/>
      <c r="C57" s="3"/>
      <c r="D57" s="3"/>
      <c r="E57" s="3"/>
      <c r="F57" s="38"/>
      <c r="G57" s="38"/>
      <c r="H57" s="38"/>
      <c r="I57" s="38"/>
      <c r="J57" s="38"/>
      <c r="K57" s="44"/>
      <c r="L57" s="44"/>
      <c r="M57" s="44"/>
      <c r="N57" s="44"/>
      <c r="O57" s="44"/>
      <c r="P57" s="44"/>
      <c r="Q57" s="44"/>
      <c r="R57" s="44"/>
      <c r="S57" s="44"/>
      <c r="T57" s="44"/>
    </row>
    <row r="58" spans="2:20" ht="12.75">
      <c r="B58" s="10" t="s">
        <v>92</v>
      </c>
      <c r="C58" s="5"/>
      <c r="D58" s="5"/>
      <c r="E58" s="5"/>
      <c r="F58" s="21"/>
      <c r="G58" s="21"/>
      <c r="H58" s="21"/>
      <c r="I58" s="21"/>
      <c r="J58" s="21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2:3" ht="12.75">
      <c r="B59" s="10" t="s">
        <v>93</v>
      </c>
      <c r="C59" s="10"/>
    </row>
    <row r="60" spans="2:3" ht="12.75">
      <c r="B60" s="10" t="s">
        <v>94</v>
      </c>
      <c r="C60" s="10"/>
    </row>
    <row r="61" spans="2:3" ht="12.75">
      <c r="B61" s="10" t="s">
        <v>95</v>
      </c>
      <c r="C61" s="10"/>
    </row>
    <row r="62" spans="2:3" ht="12.75">
      <c r="B62" s="10" t="s">
        <v>91</v>
      </c>
      <c r="C62" s="10"/>
    </row>
    <row r="63" spans="2:3" ht="12.75">
      <c r="B63" s="10"/>
      <c r="C63" s="10"/>
    </row>
    <row r="65" ht="12.75">
      <c r="B65" s="1" t="s">
        <v>83</v>
      </c>
    </row>
    <row r="66" spans="2:20" ht="12.75">
      <c r="B66" t="s">
        <v>74</v>
      </c>
      <c r="M66" s="42">
        <f aca="true" t="shared" si="16" ref="M66:T66">M12/100*M37</f>
        <v>5.0875934142973</v>
      </c>
      <c r="O66" s="42">
        <f t="shared" si="16"/>
        <v>4.884482602310538</v>
      </c>
      <c r="P66" s="42">
        <f t="shared" si="16"/>
        <v>12.848947740596234</v>
      </c>
      <c r="Q66" s="42">
        <f t="shared" si="16"/>
        <v>21.416674316719227</v>
      </c>
      <c r="R66" s="42">
        <f t="shared" si="16"/>
        <v>30.46885325432655</v>
      </c>
      <c r="S66" s="42">
        <f t="shared" si="16"/>
        <v>40.1849008772563</v>
      </c>
      <c r="T66" s="42">
        <f t="shared" si="16"/>
        <v>50.5423846082441</v>
      </c>
    </row>
    <row r="67" spans="2:20" ht="12.75">
      <c r="B67" t="s">
        <v>79</v>
      </c>
      <c r="M67" s="42">
        <f>Input_external!Q28/100*'A1_historical'!M66</f>
        <v>0</v>
      </c>
      <c r="O67" s="42">
        <f>Input_external!R28/100*O66</f>
        <v>0</v>
      </c>
      <c r="P67" s="42">
        <f>Input_external!S28/100*P66</f>
        <v>0</v>
      </c>
      <c r="Q67" s="42">
        <f>Input_external!T28/100*Q66</f>
        <v>0</v>
      </c>
      <c r="R67" s="42">
        <f>Input_external!U28/100*R66</f>
        <v>0</v>
      </c>
      <c r="S67" s="42">
        <f>Input_external!V28/100*S66</f>
        <v>0</v>
      </c>
      <c r="T67" s="42">
        <f>Input_external!W28/100*T66</f>
        <v>0</v>
      </c>
    </row>
    <row r="68" spans="2:20" ht="12.75">
      <c r="B68" s="6" t="s">
        <v>80</v>
      </c>
      <c r="O68" s="42">
        <f>(O66-O67)/Input_external!R29</f>
        <v>0.846984113616254</v>
      </c>
      <c r="P68" s="42">
        <f>(P66-P67)/Input_external!S29</f>
        <v>1.8705119641826793</v>
      </c>
      <c r="Q68" s="42">
        <f>(Q66-Q67)/Input_external!T29</f>
        <v>2.6222765210830143</v>
      </c>
      <c r="R68" s="42">
        <f>(R66-R67)/Input_external!U29</f>
        <v>4.3367143886405515</v>
      </c>
      <c r="S68" s="42">
        <f>(S66-S67)/Input_external!V29</f>
        <v>5.217023352946122</v>
      </c>
      <c r="T68" s="42">
        <f>(T66-T67)/Input_external!W29</f>
        <v>6.838398828944787</v>
      </c>
    </row>
    <row r="69" spans="2:20" ht="12.75">
      <c r="B69" s="6" t="s">
        <v>81</v>
      </c>
      <c r="O69" s="42">
        <f>O42/100*M66</f>
        <v>0.12503365943584716</v>
      </c>
      <c r="P69" s="42">
        <f>P42/100*O66</f>
        <v>0.12221575383018966</v>
      </c>
      <c r="Q69" s="42">
        <f>Q42/100*P66</f>
        <v>0.3228909135779135</v>
      </c>
      <c r="R69" s="42">
        <f>R42/100*Q66</f>
        <v>0.6210516122606177</v>
      </c>
      <c r="S69" s="42">
        <f>S42/100*R66</f>
        <v>0.8877977530824467</v>
      </c>
      <c r="T69" s="42">
        <f>T42/100*S66</f>
        <v>1.1660022410906636</v>
      </c>
    </row>
    <row r="70" spans="2:20" ht="12.75">
      <c r="B70" t="s">
        <v>82</v>
      </c>
      <c r="O70" s="42">
        <f aca="true" t="shared" si="17" ref="O70:T70">O16/100*O37</f>
        <v>-10.933873627773293</v>
      </c>
      <c r="P70" s="42">
        <f t="shared" si="17"/>
        <v>0.49406714981383315</v>
      </c>
      <c r="Q70" s="42">
        <f t="shared" si="17"/>
        <v>-0.23376517514297443</v>
      </c>
      <c r="R70" s="42">
        <f t="shared" si="17"/>
        <v>-0.028442693205616883</v>
      </c>
      <c r="S70" s="42">
        <f t="shared" si="17"/>
        <v>-0.1398154461823497</v>
      </c>
      <c r="T70" s="42">
        <f t="shared" si="17"/>
        <v>-1.7416084970813834</v>
      </c>
    </row>
    <row r="71" spans="2:20" ht="12.75">
      <c r="B71" s="1" t="s">
        <v>33</v>
      </c>
      <c r="O71" s="42">
        <f>M67+O68+O69+O70</f>
        <v>-9.961855854721192</v>
      </c>
      <c r="P71" s="42">
        <f>O67+P68+P69+P70</f>
        <v>2.486794867826702</v>
      </c>
      <c r="Q71" s="42">
        <f>P67+Q68+Q69+Q70</f>
        <v>2.7114022595179534</v>
      </c>
      <c r="R71" s="42">
        <f>Q67+R68+R69+R70</f>
        <v>4.929323307695553</v>
      </c>
      <c r="S71" s="42">
        <f>R67+S68+S69+S70</f>
        <v>5.96500565984622</v>
      </c>
      <c r="T71" s="42">
        <f>S67+T68+T69+T70</f>
        <v>6.262792572954067</v>
      </c>
    </row>
  </sheetData>
  <sheetProtection/>
  <mergeCells count="5">
    <mergeCell ref="B46:T46"/>
    <mergeCell ref="B3:T3"/>
    <mergeCell ref="B4:T4"/>
    <mergeCell ref="F7:M7"/>
    <mergeCell ref="C10:T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3:U71"/>
  <sheetViews>
    <sheetView zoomScalePageLayoutView="0" workbookViewId="0" topLeftCell="A1">
      <pane xSplit="2" ySplit="8" topLeftCell="C9" activePane="bottomRight" state="frozen"/>
      <selection pane="topLeft" activeCell="U46" sqref="U46"/>
      <selection pane="topRight" activeCell="U46" sqref="U46"/>
      <selection pane="bottomLeft" activeCell="U46" sqref="U46"/>
      <selection pane="bottomRight" activeCell="B3" sqref="B3:T3"/>
    </sheetView>
  </sheetViews>
  <sheetFormatPr defaultColWidth="9.33203125" defaultRowHeight="12.75"/>
  <cols>
    <col min="1" max="1" width="4.5" style="0" customWidth="1"/>
    <col min="2" max="2" width="62.83203125" style="0" customWidth="1"/>
    <col min="3" max="3" width="8.83203125" style="0" customWidth="1"/>
    <col min="4" max="5" width="7" style="0" customWidth="1"/>
    <col min="6" max="6" width="7" style="18" customWidth="1"/>
    <col min="7" max="7" width="8.33203125" style="18" customWidth="1"/>
    <col min="8" max="8" width="7" style="18" customWidth="1"/>
    <col min="9" max="10" width="8.83203125" style="18" customWidth="1"/>
    <col min="11" max="13" width="8.83203125" style="42" customWidth="1"/>
    <col min="14" max="14" width="1.66796875" style="42" customWidth="1"/>
    <col min="15" max="20" width="8.83203125" style="42" customWidth="1"/>
  </cols>
  <sheetData>
    <row r="3" spans="2:20" ht="14.25">
      <c r="B3" s="139" t="s">
        <v>181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2:20" ht="15">
      <c r="B4" s="132" t="s">
        <v>27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0:20" ht="8.25" customHeight="1">
      <c r="J5" s="28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20" ht="5.25" customHeight="1">
      <c r="B6" s="2"/>
      <c r="C6" s="2"/>
      <c r="D6" s="2"/>
      <c r="E6" s="2"/>
      <c r="F6" s="29"/>
      <c r="G6" s="29"/>
      <c r="H6" s="29"/>
      <c r="I6" s="29"/>
      <c r="J6" s="29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2:20" ht="12.75">
      <c r="B7" s="17"/>
      <c r="C7" s="17"/>
      <c r="D7" s="17"/>
      <c r="E7" s="17"/>
      <c r="F7" s="130" t="s">
        <v>24</v>
      </c>
      <c r="G7" s="130"/>
      <c r="H7" s="130"/>
      <c r="I7" s="130"/>
      <c r="J7" s="130"/>
      <c r="K7" s="130"/>
      <c r="L7" s="130"/>
      <c r="M7" s="130"/>
      <c r="N7" s="53"/>
      <c r="O7" s="54" t="s">
        <v>21</v>
      </c>
      <c r="P7" s="54"/>
      <c r="Q7" s="54"/>
      <c r="R7" s="54"/>
      <c r="S7" s="54"/>
      <c r="T7" s="54"/>
    </row>
    <row r="8" spans="2:20" ht="12.75">
      <c r="B8" s="4"/>
      <c r="C8" s="64">
        <f>Table!C8</f>
        <v>2004</v>
      </c>
      <c r="D8" s="64">
        <f>Table!D8</f>
        <v>2005</v>
      </c>
      <c r="E8" s="64">
        <f>Table!E8</f>
        <v>2006</v>
      </c>
      <c r="F8" s="64">
        <f>Table!F8</f>
        <v>2007</v>
      </c>
      <c r="G8" s="64">
        <f>Table!G8</f>
        <v>2008</v>
      </c>
      <c r="H8" s="64">
        <f>Table!H8</f>
        <v>2009</v>
      </c>
      <c r="I8" s="64">
        <f>Table!I8</f>
        <v>2010</v>
      </c>
      <c r="J8" s="64">
        <f>Table!J8</f>
        <v>2011</v>
      </c>
      <c r="K8" s="64">
        <f>Table!K8</f>
        <v>2012</v>
      </c>
      <c r="L8" s="64">
        <f>Table!L8</f>
        <v>2013</v>
      </c>
      <c r="M8" s="64">
        <f>Table!M8</f>
        <v>2014</v>
      </c>
      <c r="N8" s="33"/>
      <c r="O8" s="64" t="str">
        <f>Table!S8</f>
        <v>2015</v>
      </c>
      <c r="P8" s="64">
        <f>Table!T8</f>
        <v>2016</v>
      </c>
      <c r="Q8" s="64">
        <f>Table!U8</f>
        <v>2017</v>
      </c>
      <c r="R8" s="64">
        <f>Table!V8</f>
        <v>2018</v>
      </c>
      <c r="S8" s="64">
        <f>Table!W8</f>
        <v>2019</v>
      </c>
      <c r="T8" s="64">
        <f>Table!X8</f>
        <v>2020</v>
      </c>
    </row>
    <row r="9" spans="2:21" ht="12.75">
      <c r="B9" s="5"/>
      <c r="C9" s="5"/>
      <c r="D9" s="23"/>
      <c r="E9" s="23"/>
      <c r="F9" s="21"/>
      <c r="G9" s="21"/>
      <c r="H9" s="21"/>
      <c r="I9" s="21"/>
      <c r="J9" s="21"/>
      <c r="K9" s="43"/>
      <c r="L9" s="43"/>
      <c r="M9" s="43"/>
      <c r="N9" s="43"/>
      <c r="O9" s="43"/>
      <c r="P9" s="43"/>
      <c r="Q9" s="43"/>
      <c r="R9" s="43"/>
      <c r="S9" s="43"/>
      <c r="T9" s="43"/>
      <c r="U9" s="61" t="s">
        <v>113</v>
      </c>
    </row>
    <row r="10" spans="3:21" ht="12.75">
      <c r="C10" s="131" t="s">
        <v>73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61" t="s">
        <v>114</v>
      </c>
    </row>
    <row r="11" spans="2:21" ht="12.75">
      <c r="B11" s="5"/>
      <c r="C11" s="5"/>
      <c r="D11" s="21"/>
      <c r="E11" s="21"/>
      <c r="F11" s="21"/>
      <c r="G11" s="21"/>
      <c r="H11" s="21"/>
      <c r="I11" s="21"/>
      <c r="J11" s="21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61" t="s">
        <v>146</v>
      </c>
    </row>
    <row r="12" spans="1:20" ht="12.75">
      <c r="A12">
        <f>A30+1</f>
        <v>1</v>
      </c>
      <c r="B12" t="s">
        <v>1</v>
      </c>
      <c r="C12" s="18">
        <f>Input_external!G4/Table!C37*100</f>
        <v>41.467145679070754</v>
      </c>
      <c r="D12" s="18">
        <f>Input_external!H4/Table!D37*100</f>
        <v>39.890279910674806</v>
      </c>
      <c r="E12" s="18">
        <f>Input_external!I4/Table!E37*100</f>
        <v>34.41184194543343</v>
      </c>
      <c r="F12" s="18">
        <f>Input_external!J4/Table!F37*100</f>
        <v>25.56845863291222</v>
      </c>
      <c r="G12" s="18">
        <f>Input_external!K4/Table!G37*100</f>
        <v>16.655644043400844</v>
      </c>
      <c r="H12" s="18">
        <f>Input_external!L4/Table!H37*100</f>
        <v>4.78478995297671</v>
      </c>
      <c r="I12" s="18">
        <f>Input_external!M4/Table!I37*100</f>
        <v>4.314859534503879</v>
      </c>
      <c r="J12" s="18">
        <f>Input_external!N4/Table!J37*100</f>
        <v>3.4481060927535223</v>
      </c>
      <c r="K12" s="18">
        <f>Input_external!O4/Table!K37*100</f>
        <v>4.122122200101253</v>
      </c>
      <c r="L12" s="18">
        <f>Input_external!P4/Table!L37*100</f>
        <v>3.533196087813501</v>
      </c>
      <c r="M12" s="18">
        <f>Input_external!Q4/Table!M37*100</f>
        <v>2.6753682908552867</v>
      </c>
      <c r="N12" s="18"/>
      <c r="O12" s="28">
        <f>M12+O14</f>
        <v>2.514588096821696</v>
      </c>
      <c r="P12" s="28">
        <f>O12+P14</f>
        <v>4.624343085691031</v>
      </c>
      <c r="Q12" s="28">
        <f>P12+Q14</f>
        <v>6.808145490436955</v>
      </c>
      <c r="R12" s="28">
        <f>Q12+R14</f>
        <v>9.095367384107089</v>
      </c>
      <c r="S12" s="28">
        <f>R12+S14</f>
        <v>11.448315099952183</v>
      </c>
      <c r="T12" s="28">
        <f>S12+T14</f>
        <v>13.92047622029952</v>
      </c>
    </row>
    <row r="13" spans="3:20" ht="12.75">
      <c r="C13" s="18"/>
      <c r="D13" s="18"/>
      <c r="E13" s="18"/>
      <c r="K13" s="18"/>
      <c r="L13" s="18"/>
      <c r="M13" s="18"/>
      <c r="N13" s="18"/>
      <c r="O13" s="28"/>
      <c r="P13" s="28"/>
      <c r="Q13" s="28"/>
      <c r="R13" s="28"/>
      <c r="S13" s="28"/>
      <c r="T13" s="28"/>
    </row>
    <row r="14" spans="1:21" ht="12.75">
      <c r="A14">
        <f>A12+1</f>
        <v>2</v>
      </c>
      <c r="B14" t="s">
        <v>29</v>
      </c>
      <c r="C14" s="18"/>
      <c r="D14" s="18">
        <f>(D12-C12)</f>
        <v>-1.5768657683959475</v>
      </c>
      <c r="E14" s="18">
        <f>(E12-D12)</f>
        <v>-5.478437965241376</v>
      </c>
      <c r="F14" s="18">
        <f aca="true" t="shared" si="0" ref="F14:M14">(F12-E12)</f>
        <v>-8.843383312521212</v>
      </c>
      <c r="G14" s="18">
        <f t="shared" si="0"/>
        <v>-8.912814589511374</v>
      </c>
      <c r="H14" s="18">
        <f t="shared" si="0"/>
        <v>-11.870854090424135</v>
      </c>
      <c r="I14" s="18">
        <f t="shared" si="0"/>
        <v>-0.46993041847283124</v>
      </c>
      <c r="J14" s="18">
        <f t="shared" si="0"/>
        <v>-0.8667534417503564</v>
      </c>
      <c r="K14" s="18">
        <f t="shared" si="0"/>
        <v>0.6740161073477307</v>
      </c>
      <c r="L14" s="18">
        <f t="shared" si="0"/>
        <v>-0.5889261122877518</v>
      </c>
      <c r="M14" s="18">
        <f t="shared" si="0"/>
        <v>-0.8578277969582144</v>
      </c>
      <c r="N14" s="18"/>
      <c r="O14" s="18">
        <f aca="true" t="shared" si="1" ref="O14:T14">O15+O28</f>
        <v>-0.1607801940335909</v>
      </c>
      <c r="P14" s="18">
        <f t="shared" si="1"/>
        <v>2.109754988869335</v>
      </c>
      <c r="Q14" s="18">
        <f t="shared" si="1"/>
        <v>2.183802404745924</v>
      </c>
      <c r="R14" s="18">
        <f t="shared" si="1"/>
        <v>2.287221893670134</v>
      </c>
      <c r="S14" s="18">
        <f t="shared" si="1"/>
        <v>2.352947715845094</v>
      </c>
      <c r="T14" s="18">
        <f t="shared" si="1"/>
        <v>2.472161120347337</v>
      </c>
      <c r="U14" s="62">
        <f>U15+U28</f>
        <v>0</v>
      </c>
    </row>
    <row r="15" spans="1:21" ht="12.75">
      <c r="A15">
        <f aca="true" t="shared" si="2" ref="A15:A26">A14+1</f>
        <v>3</v>
      </c>
      <c r="B15" t="s">
        <v>39</v>
      </c>
      <c r="C15" s="18"/>
      <c r="D15" s="18">
        <f>D16+D20+D23</f>
        <v>-10.861741555607416</v>
      </c>
      <c r="E15" s="18">
        <f>E16+E20+E23</f>
        <v>-20.418857295820366</v>
      </c>
      <c r="F15" s="18">
        <f>F16+F20+F23</f>
        <v>-20.799872301568897</v>
      </c>
      <c r="G15" s="18">
        <f aca="true" t="shared" si="3" ref="G15:U15">G16+G20+G23</f>
        <v>-25.977293078370288</v>
      </c>
      <c r="H15" s="18">
        <f t="shared" si="3"/>
        <v>-28.181087839612378</v>
      </c>
      <c r="I15" s="18">
        <f t="shared" si="3"/>
        <v>-24.41051344054414</v>
      </c>
      <c r="J15" s="18">
        <f t="shared" si="3"/>
        <v>-22.453490315061558</v>
      </c>
      <c r="K15" s="18">
        <f t="shared" si="3"/>
        <v>-1.2950664132288616</v>
      </c>
      <c r="L15" s="18">
        <f t="shared" si="3"/>
        <v>-9.31160417432428</v>
      </c>
      <c r="M15" s="18">
        <f t="shared" si="3"/>
        <v>-11.759602360374313</v>
      </c>
      <c r="N15" s="18"/>
      <c r="O15" s="18">
        <f t="shared" si="3"/>
        <v>-6.469334746717485</v>
      </c>
      <c r="P15" s="18">
        <f t="shared" si="3"/>
        <v>-2.760185535046683</v>
      </c>
      <c r="Q15" s="18">
        <f t="shared" si="3"/>
        <v>-3.1538078270815433</v>
      </c>
      <c r="R15" s="18">
        <f t="shared" si="3"/>
        <v>-2.9773894310364604</v>
      </c>
      <c r="S15" s="18">
        <f t="shared" si="3"/>
        <v>-3.064865590758171</v>
      </c>
      <c r="T15" s="18">
        <f t="shared" si="3"/>
        <v>-3.8195300709663997</v>
      </c>
      <c r="U15" s="18">
        <f t="shared" si="3"/>
        <v>0</v>
      </c>
    </row>
    <row r="16" spans="1:21" s="25" customFormat="1" ht="12.75">
      <c r="A16">
        <f t="shared" si="2"/>
        <v>4</v>
      </c>
      <c r="B16" s="27" t="s">
        <v>40</v>
      </c>
      <c r="C16" s="18"/>
      <c r="D16" s="18">
        <f>Input_external!H26/Table!D37*100</f>
        <v>-11.85531648987353</v>
      </c>
      <c r="E16" s="18">
        <f>Input_external!I26/Table!E37*100</f>
        <v>-16.043957123545873</v>
      </c>
      <c r="F16" s="18">
        <f>Input_external!J26/Table!F37*100</f>
        <v>-15.356985015745572</v>
      </c>
      <c r="G16" s="18">
        <f>Input_external!K26/Table!G37*100</f>
        <v>-22.10128010482221</v>
      </c>
      <c r="H16" s="18">
        <f>Input_external!L26/Table!H37*100</f>
        <v>-26.5243790871535</v>
      </c>
      <c r="I16" s="18">
        <f>Input_external!M26/Table!I37*100</f>
        <v>-22.955499473469303</v>
      </c>
      <c r="J16" s="18">
        <f>Input_external!N26/Table!J37*100</f>
        <v>-20.173950961975272</v>
      </c>
      <c r="K16" s="18">
        <f>Input_external!O26/Table!K37*100</f>
        <v>-0.4208268083538204</v>
      </c>
      <c r="L16" s="18">
        <f>Input_external!P26/Table!L37*100</f>
        <v>-7.613319237580539</v>
      </c>
      <c r="M16" s="18">
        <f>Input_external!Q26/Table!M37*100</f>
        <v>-10.397963540003312</v>
      </c>
      <c r="N16" s="18"/>
      <c r="O16" s="18">
        <f>Input_external!R26/Table!S37*100</f>
        <v>-5.628884513488823</v>
      </c>
      <c r="P16" s="50">
        <f>Table!T16+$L$51*0.25</f>
        <v>-1.7461033207198162</v>
      </c>
      <c r="Q16" s="50">
        <f>Table!U16+$L$51*0.25</f>
        <v>-2.103254523746446</v>
      </c>
      <c r="R16" s="50">
        <f>Table!V16+$L$51*0.25</f>
        <v>-2.0052174912330494</v>
      </c>
      <c r="S16" s="50">
        <f>Table!W16+$L$51*0.25</f>
        <v>-2.05346951837082</v>
      </c>
      <c r="T16" s="50">
        <f>Table!X16+$L$51*0.25</f>
        <v>-2.7202038898045124</v>
      </c>
      <c r="U16" s="28">
        <f>-(U20+U23)</f>
        <v>1.1225971203498177</v>
      </c>
    </row>
    <row r="17" spans="1:21" ht="12.75">
      <c r="A17">
        <f t="shared" si="2"/>
        <v>5</v>
      </c>
      <c r="B17" s="9" t="s">
        <v>66</v>
      </c>
      <c r="C17" s="42"/>
      <c r="D17" s="42">
        <f>D19-D18</f>
        <v>-9.723559635712395</v>
      </c>
      <c r="E17" s="42">
        <f>E19-E18</f>
        <v>-14.378851360356414</v>
      </c>
      <c r="F17" s="42">
        <f>F19-F18</f>
        <v>-14.361009128390478</v>
      </c>
      <c r="G17" s="42">
        <f aca="true" t="shared" si="4" ref="G17:O17">G19-G18</f>
        <v>-23.44791488962486</v>
      </c>
      <c r="H17" s="42">
        <f t="shared" si="4"/>
        <v>-27.163828920498567</v>
      </c>
      <c r="I17" s="42">
        <f t="shared" si="4"/>
        <v>-22.486412069373102</v>
      </c>
      <c r="J17" s="42">
        <f t="shared" si="4"/>
        <v>-19.224717229296974</v>
      </c>
      <c r="K17" s="42">
        <f t="shared" si="4"/>
        <v>0.6591678598914399</v>
      </c>
      <c r="L17" s="42">
        <f t="shared" si="4"/>
        <v>-6.151688824447941</v>
      </c>
      <c r="M17" s="42">
        <f t="shared" si="4"/>
        <v>-10.657318407381744</v>
      </c>
      <c r="O17" s="42">
        <f t="shared" si="4"/>
        <v>-6.516428195806682</v>
      </c>
      <c r="P17" s="42">
        <f>Table!T17-Table!T16+P16</f>
        <v>-2.66729503967482</v>
      </c>
      <c r="Q17" s="42">
        <f>Table!U17-Table!U16+Q16</f>
        <v>-2.525311601067348</v>
      </c>
      <c r="R17" s="42">
        <f>Table!V17-Table!V16+R16</f>
        <v>-1.9398592872480096</v>
      </c>
      <c r="S17" s="42">
        <f>Table!W17-Table!W16+S16</f>
        <v>-1.5306019865772997</v>
      </c>
      <c r="T17" s="42">
        <f>Table!X17-Table!X16+T16</f>
        <v>-1.0460636140329855</v>
      </c>
      <c r="U17" s="42"/>
    </row>
    <row r="18" spans="1:21" ht="12.75">
      <c r="A18">
        <f t="shared" si="2"/>
        <v>6</v>
      </c>
      <c r="B18" s="34" t="s">
        <v>103</v>
      </c>
      <c r="C18" s="18">
        <f>Input_external!G7/Table!C37*100</f>
        <v>36.53660871519481</v>
      </c>
      <c r="D18" s="18">
        <f>Input_external!H7/Table!D37*100</f>
        <v>35.25178840992306</v>
      </c>
      <c r="E18" s="18">
        <f>Input_external!I7/Table!E37*100</f>
        <v>38.35637435028463</v>
      </c>
      <c r="F18" s="18">
        <f>Input_external!J7/Table!F37*100</f>
        <v>39.92126560693624</v>
      </c>
      <c r="G18" s="18">
        <f>Input_external!K7/Table!G37*100</f>
        <v>47.31628984874926</v>
      </c>
      <c r="H18" s="18">
        <f>Input_external!L7/Table!H37*100</f>
        <v>48.87101926311921</v>
      </c>
      <c r="I18" s="18">
        <f>Input_external!M7/Table!I37*100</f>
        <v>47.266140336549824</v>
      </c>
      <c r="J18" s="18">
        <f>Input_external!N7/Table!J37*100</f>
        <v>47.800729046796604</v>
      </c>
      <c r="K18" s="18">
        <f>Input_external!O7/Table!K37*100</f>
        <v>34.91542161492573</v>
      </c>
      <c r="L18" s="18">
        <f>Input_external!P7/Table!L37*100</f>
        <v>37.74150950440462</v>
      </c>
      <c r="M18" s="18">
        <f>Input_external!Q7/Table!M37*100</f>
        <v>40.390721510732135</v>
      </c>
      <c r="N18" s="18"/>
      <c r="O18" s="18">
        <f>Table!S18</f>
        <v>35.404476074610706</v>
      </c>
      <c r="P18" s="18">
        <f>P19-P17</f>
        <v>30.410718095166196</v>
      </c>
      <c r="Q18" s="18">
        <f>Q19-Q17</f>
        <v>28.581632400641826</v>
      </c>
      <c r="R18" s="18">
        <f>R19-R17</f>
        <v>26.283594202913868</v>
      </c>
      <c r="S18" s="18">
        <f>S19-S17</f>
        <v>24.50145230161042</v>
      </c>
      <c r="T18" s="18">
        <f>T19-T17</f>
        <v>23.044134156267823</v>
      </c>
      <c r="U18" s="18"/>
    </row>
    <row r="19" spans="1:21" ht="12.75">
      <c r="A19">
        <f t="shared" si="2"/>
        <v>7</v>
      </c>
      <c r="B19" s="34" t="s">
        <v>104</v>
      </c>
      <c r="C19" s="18"/>
      <c r="D19" s="18">
        <f>-Input_external!H8/Table!D37*100</f>
        <v>25.528228774210664</v>
      </c>
      <c r="E19" s="18">
        <f>-Input_external!I8/Table!E37*100</f>
        <v>23.977522989928218</v>
      </c>
      <c r="F19" s="18">
        <f>-Input_external!J8/Table!F37*100</f>
        <v>25.56025647854576</v>
      </c>
      <c r="G19" s="18">
        <f>-Input_external!K8/Table!G37*100</f>
        <v>23.868374959124395</v>
      </c>
      <c r="H19" s="18">
        <f>-Input_external!L8/Table!H37*100</f>
        <v>21.707190342620642</v>
      </c>
      <c r="I19" s="18">
        <f>-Input_external!M8/Table!I37*100</f>
        <v>24.779728267176722</v>
      </c>
      <c r="J19" s="18">
        <f>-Input_external!N8/Table!J37*100</f>
        <v>28.57601181749963</v>
      </c>
      <c r="K19" s="18">
        <f>-Input_external!O8/Table!K37*100</f>
        <v>35.57458947481717</v>
      </c>
      <c r="L19" s="18">
        <f>-Input_external!P8/Table!L37*100</f>
        <v>31.589820679956677</v>
      </c>
      <c r="M19" s="18">
        <f>-Input_external!Q8/Table!M37*100</f>
        <v>29.73340310335039</v>
      </c>
      <c r="N19" s="18"/>
      <c r="O19" s="18">
        <f>Table!S19</f>
        <v>28.888047878804024</v>
      </c>
      <c r="P19" s="18">
        <f>Table!T19</f>
        <v>27.743423055491377</v>
      </c>
      <c r="Q19" s="18">
        <f>Table!U19</f>
        <v>26.05632079957448</v>
      </c>
      <c r="R19" s="18">
        <f>Table!V19</f>
        <v>24.34373491566586</v>
      </c>
      <c r="S19" s="18">
        <f>Table!W19</f>
        <v>22.970850315033122</v>
      </c>
      <c r="T19" s="18">
        <f>Table!X19</f>
        <v>21.99807054223484</v>
      </c>
      <c r="U19" s="18"/>
    </row>
    <row r="20" spans="1:21" ht="12.75">
      <c r="A20">
        <f t="shared" si="2"/>
        <v>8</v>
      </c>
      <c r="B20" s="15" t="s">
        <v>26</v>
      </c>
      <c r="C20" s="18"/>
      <c r="D20" s="18">
        <f>-(D21+D22)</f>
        <v>-1.7089290483771113</v>
      </c>
      <c r="E20" s="18">
        <f>-(E21+E22)</f>
        <v>-0.913597852369438</v>
      </c>
      <c r="F20" s="18">
        <f>-(F21+F22)</f>
        <v>-0.726476529600182</v>
      </c>
      <c r="G20" s="18">
        <f aca="true" t="shared" si="5" ref="G20:T20">-(G21+G22)</f>
        <v>-1.0269301236624533</v>
      </c>
      <c r="H20" s="18">
        <f t="shared" si="5"/>
        <v>-1.5005756089164308</v>
      </c>
      <c r="I20" s="18">
        <f t="shared" si="5"/>
        <v>-1.0200789581139456</v>
      </c>
      <c r="J20" s="18">
        <f t="shared" si="5"/>
        <v>-1.4500564382631769</v>
      </c>
      <c r="K20" s="18">
        <f t="shared" si="5"/>
        <v>-1.8410647364717936</v>
      </c>
      <c r="L20" s="18">
        <f t="shared" si="5"/>
        <v>-1.1817437382774247</v>
      </c>
      <c r="M20" s="18">
        <f t="shared" si="5"/>
        <v>-0.8809882228706428</v>
      </c>
      <c r="N20" s="18"/>
      <c r="O20" s="18">
        <f t="shared" si="5"/>
        <v>-0.8439007951753188</v>
      </c>
      <c r="P20" s="18">
        <f t="shared" si="5"/>
        <v>-1.0160887052971992</v>
      </c>
      <c r="Q20" s="18">
        <f t="shared" si="5"/>
        <v>-0.9914856939179687</v>
      </c>
      <c r="R20" s="18">
        <f t="shared" si="5"/>
        <v>-0.9792909901781572</v>
      </c>
      <c r="S20" s="18">
        <f t="shared" si="5"/>
        <v>-0.9608325138522776</v>
      </c>
      <c r="T20" s="18">
        <f t="shared" si="5"/>
        <v>-0.9915609379087197</v>
      </c>
      <c r="U20" s="18">
        <f>T20</f>
        <v>-0.9915609379087197</v>
      </c>
    </row>
    <row r="21" spans="1:21" ht="12.75">
      <c r="A21">
        <f t="shared" si="2"/>
        <v>9</v>
      </c>
      <c r="B21" s="9" t="s">
        <v>109</v>
      </c>
      <c r="C21" s="18"/>
      <c r="D21" s="18">
        <f>Input_external!H9/Table!D$37*100</f>
        <v>1.7089290483771113</v>
      </c>
      <c r="E21" s="18">
        <f>Input_external!I9/Table!E$37*100</f>
        <v>0.913597852369438</v>
      </c>
      <c r="F21" s="18">
        <f>Input_external!J9/Table!F$37*100</f>
        <v>0.726476529600182</v>
      </c>
      <c r="G21" s="18">
        <f>Input_external!K9/Table!G$37*100</f>
        <v>1.0269301236624533</v>
      </c>
      <c r="H21" s="18">
        <f>Input_external!L9/Table!H$37*100</f>
        <v>1.5005756089164308</v>
      </c>
      <c r="I21" s="18">
        <f>Input_external!M9/Table!I$37*100</f>
        <v>1.0200789581139456</v>
      </c>
      <c r="J21" s="18">
        <f>Input_external!N9/Table!J$37*100</f>
        <v>1.4500564382631769</v>
      </c>
      <c r="K21" s="18">
        <f>Input_external!O9/Table!K$37*100</f>
        <v>1.8410647364717936</v>
      </c>
      <c r="L21" s="18">
        <f>Input_external!P9/Table!L$37*100</f>
        <v>1.1817437382774247</v>
      </c>
      <c r="M21" s="18">
        <f>Input_external!Q9/Table!M$37*100</f>
        <v>0.8809882228706428</v>
      </c>
      <c r="N21" s="18"/>
      <c r="O21" s="18">
        <f>Input_external!R9/Table!S$37*100</f>
        <v>0.8439007951753188</v>
      </c>
      <c r="P21" s="18">
        <f>Table!T21*Table!T$37/P$37</f>
        <v>1.0160887052971992</v>
      </c>
      <c r="Q21" s="18">
        <f>Table!U21*Table!U$37/Q$37</f>
        <v>0.9914856939179687</v>
      </c>
      <c r="R21" s="18">
        <f>Table!V21*Table!V$37/R$37</f>
        <v>0.9792909901781572</v>
      </c>
      <c r="S21" s="18">
        <f>Table!W21*Table!W$37/S$37</f>
        <v>0.9608325138522776</v>
      </c>
      <c r="T21" s="18">
        <f>Table!X21*Table!X$37/T$37</f>
        <v>0.9915609379087197</v>
      </c>
      <c r="U21" s="18"/>
    </row>
    <row r="22" spans="1:21" ht="12.75">
      <c r="A22">
        <f t="shared" si="2"/>
        <v>10</v>
      </c>
      <c r="B22" s="8" t="s">
        <v>110</v>
      </c>
      <c r="C22" s="18"/>
      <c r="D22" s="18">
        <f>Input_external!H10/Table!D$37*100</f>
        <v>0</v>
      </c>
      <c r="E22" s="18">
        <f>Input_external!I10/Table!E$37*100</f>
        <v>0</v>
      </c>
      <c r="F22" s="18">
        <f>Input_external!J10/Table!F$37*100</f>
        <v>0</v>
      </c>
      <c r="G22" s="18">
        <f>Input_external!K10/Table!G$37*100</f>
        <v>0</v>
      </c>
      <c r="H22" s="18">
        <f>Input_external!L10/Table!H$37*100</f>
        <v>0</v>
      </c>
      <c r="I22" s="18">
        <f>Input_external!M10/Table!I$37*100</f>
        <v>0</v>
      </c>
      <c r="J22" s="18">
        <f>Input_external!N10/Table!J$37*100</f>
        <v>0</v>
      </c>
      <c r="K22" s="18">
        <f>Input_external!O10/Table!K$37*100</f>
        <v>0</v>
      </c>
      <c r="L22" s="18">
        <f>Input_external!P10/Table!L$37*100</f>
        <v>0</v>
      </c>
      <c r="M22" s="18">
        <f>Input_external!Q10/Table!M$37*100</f>
        <v>0</v>
      </c>
      <c r="N22" s="18"/>
      <c r="O22" s="18">
        <f>Input_external!R10/Table!S$37*100</f>
        <v>0</v>
      </c>
      <c r="P22" s="18">
        <f>Table!T22*Table!T$37/P$37</f>
        <v>0</v>
      </c>
      <c r="Q22" s="18">
        <f>Table!U22*Table!U$37/Q$37</f>
        <v>0</v>
      </c>
      <c r="R22" s="18">
        <f>Table!V22*Table!V$37/R$37</f>
        <v>0</v>
      </c>
      <c r="S22" s="18">
        <f>Table!W22*Table!W$37/S$37</f>
        <v>0</v>
      </c>
      <c r="T22" s="18">
        <f>Table!X22*Table!X$37/T$37</f>
        <v>0</v>
      </c>
      <c r="U22" s="18"/>
    </row>
    <row r="23" spans="1:21" ht="12.75">
      <c r="A23">
        <f t="shared" si="2"/>
        <v>11</v>
      </c>
      <c r="B23" s="12" t="s">
        <v>30</v>
      </c>
      <c r="C23" s="18"/>
      <c r="D23" s="42">
        <f>D25+D26+D27</f>
        <v>2.7025039826432256</v>
      </c>
      <c r="E23" s="42">
        <f>E25+E26+E27</f>
        <v>-3.461302319905054</v>
      </c>
      <c r="F23" s="42">
        <f>F25+F26+F27</f>
        <v>-4.716410756223144</v>
      </c>
      <c r="G23" s="42">
        <f>G25+G26+G27</f>
        <v>-2.8490828498856278</v>
      </c>
      <c r="H23" s="42">
        <f aca="true" t="shared" si="6" ref="H23:U23">H25+H26+H27</f>
        <v>-0.15613314354244845</v>
      </c>
      <c r="I23" s="42">
        <f t="shared" si="6"/>
        <v>-0.4349350089608929</v>
      </c>
      <c r="J23" s="42">
        <f t="shared" si="6"/>
        <v>-0.8294829148231108</v>
      </c>
      <c r="K23" s="42">
        <f t="shared" si="6"/>
        <v>0.9668251315967523</v>
      </c>
      <c r="L23" s="42">
        <f t="shared" si="6"/>
        <v>-0.5165411984663174</v>
      </c>
      <c r="M23" s="42">
        <f t="shared" si="6"/>
        <v>-0.48065059750035705</v>
      </c>
      <c r="O23" s="42">
        <f t="shared" si="6"/>
        <v>0.003450561946657514</v>
      </c>
      <c r="P23" s="42">
        <f t="shared" si="6"/>
        <v>0.0020064909703325032</v>
      </c>
      <c r="Q23" s="42">
        <f t="shared" si="6"/>
        <v>-0.05906760941712867</v>
      </c>
      <c r="R23" s="42">
        <f t="shared" si="6"/>
        <v>0.007119050374746326</v>
      </c>
      <c r="S23" s="42">
        <f t="shared" si="6"/>
        <v>-0.050563558535073876</v>
      </c>
      <c r="T23" s="42">
        <f t="shared" si="6"/>
        <v>-0.10776524325316753</v>
      </c>
      <c r="U23" s="42">
        <f t="shared" si="6"/>
        <v>-0.13103618244109808</v>
      </c>
    </row>
    <row r="24" spans="1:21" ht="12.75" hidden="1">
      <c r="A24">
        <f t="shared" si="2"/>
        <v>12</v>
      </c>
      <c r="B24" s="13" t="s">
        <v>31</v>
      </c>
      <c r="C24" s="42"/>
      <c r="D24" s="42">
        <f aca="true" t="shared" si="7" ref="D24:U24">1+D38/100+D41/100+D38/100*D41/100</f>
        <v>1.0368283320039988</v>
      </c>
      <c r="E24" s="42">
        <f t="shared" si="7"/>
        <v>1.195608288821117</v>
      </c>
      <c r="F24" s="42">
        <f t="shared" si="7"/>
        <v>1.2575738033439823</v>
      </c>
      <c r="G24" s="42">
        <f t="shared" si="7"/>
        <v>1.2094693589463261</v>
      </c>
      <c r="H24" s="42">
        <f t="shared" si="7"/>
        <v>1.1362916443192785</v>
      </c>
      <c r="I24" s="42">
        <f t="shared" si="7"/>
        <v>1.145069885312269</v>
      </c>
      <c r="J24" s="42">
        <f t="shared" si="7"/>
        <v>1.278579282867286</v>
      </c>
      <c r="K24" s="42">
        <f t="shared" si="7"/>
        <v>0.8034340173500737</v>
      </c>
      <c r="L24" s="42">
        <f t="shared" si="7"/>
        <v>1.165374830908146</v>
      </c>
      <c r="M24" s="42">
        <f t="shared" si="7"/>
        <v>1.1827651780047568</v>
      </c>
      <c r="O24" s="42">
        <f t="shared" si="7"/>
        <v>1.021463589319304</v>
      </c>
      <c r="P24" s="42">
        <f t="shared" si="7"/>
        <v>1.0295036887630318</v>
      </c>
      <c r="Q24" s="42">
        <f t="shared" si="7"/>
        <v>1.0443229253974253</v>
      </c>
      <c r="R24" s="42">
        <f t="shared" si="7"/>
        <v>1.0336795571980786</v>
      </c>
      <c r="S24" s="42">
        <f t="shared" si="7"/>
        <v>1.0405593710570427</v>
      </c>
      <c r="T24" s="42">
        <f t="shared" si="7"/>
        <v>1.0443238402002308</v>
      </c>
      <c r="U24" s="42">
        <f t="shared" si="7"/>
        <v>1.0443238402002308</v>
      </c>
    </row>
    <row r="25" spans="1:21" ht="12.75">
      <c r="A25">
        <v>12</v>
      </c>
      <c r="B25" s="8" t="s">
        <v>48</v>
      </c>
      <c r="C25" s="18"/>
      <c r="D25" s="18">
        <f aca="true" t="shared" si="8" ref="D25:T25">D42/100/D24*C12</f>
        <v>4.175424582117273</v>
      </c>
      <c r="E25" s="18">
        <f t="shared" si="8"/>
        <v>3.064973440207147</v>
      </c>
      <c r="F25" s="18">
        <f t="shared" si="8"/>
        <v>2.331755312748972</v>
      </c>
      <c r="G25" s="18">
        <f t="shared" si="8"/>
        <v>1.5791472656318855</v>
      </c>
      <c r="H25" s="18">
        <f t="shared" si="8"/>
        <v>1.841615520033802</v>
      </c>
      <c r="I25" s="18">
        <f t="shared" si="8"/>
        <v>0.17125413165416603</v>
      </c>
      <c r="J25" s="18">
        <f t="shared" si="8"/>
        <v>0.11064687681526249</v>
      </c>
      <c r="K25" s="18">
        <f t="shared" si="8"/>
        <v>0.12322086818905707</v>
      </c>
      <c r="L25" s="18">
        <f t="shared" si="8"/>
        <v>0.0684167427423772</v>
      </c>
      <c r="M25" s="18">
        <f t="shared" si="8"/>
        <v>0.06531171515774152</v>
      </c>
      <c r="N25" s="18"/>
      <c r="O25" s="18">
        <f>O42/100/O24*M12</f>
        <v>0.06436877297315226</v>
      </c>
      <c r="P25" s="18">
        <f t="shared" si="8"/>
        <v>0.08456288384507253</v>
      </c>
      <c r="Q25" s="18">
        <f t="shared" si="8"/>
        <v>0.15378547957548258</v>
      </c>
      <c r="R25" s="18">
        <f t="shared" si="8"/>
        <v>0.25422131368881523</v>
      </c>
      <c r="S25" s="18">
        <f t="shared" si="8"/>
        <v>0.33860062635805144</v>
      </c>
      <c r="T25" s="18">
        <f t="shared" si="8"/>
        <v>0.42332255386489465</v>
      </c>
      <c r="U25" s="18">
        <f>U42/100/U24*T12</f>
        <v>0.5147352683031359</v>
      </c>
    </row>
    <row r="26" spans="1:21" ht="12.75">
      <c r="A26">
        <f t="shared" si="2"/>
        <v>13</v>
      </c>
      <c r="B26" s="9" t="s">
        <v>32</v>
      </c>
      <c r="C26" s="18"/>
      <c r="D26" s="18">
        <f>-D38/100/D24*C12</f>
        <v>-1.8797285787410425</v>
      </c>
      <c r="E26" s="18">
        <f>-E38/100/E24*D12</f>
        <v>-2.3021162863888183</v>
      </c>
      <c r="F26" s="18">
        <f>-F38/100/F24*E12</f>
        <v>-1.422911145575965</v>
      </c>
      <c r="G26" s="18">
        <f>-G38/100/G24*F12</f>
        <v>-1.0781516543871474</v>
      </c>
      <c r="H26" s="18">
        <f aca="true" t="shared" si="9" ref="H26:U26">-H38/100/H24*G12</f>
        <v>-0.2931579075965019</v>
      </c>
      <c r="I26" s="18">
        <f t="shared" si="9"/>
        <v>-0.1253580243708515</v>
      </c>
      <c r="J26" s="18">
        <f t="shared" si="9"/>
        <v>-0.08099351382877072</v>
      </c>
      <c r="K26" s="18">
        <f t="shared" si="9"/>
        <v>-0.10467273085252374</v>
      </c>
      <c r="L26" s="18">
        <f t="shared" si="9"/>
        <v>-0.11625768034378085</v>
      </c>
      <c r="M26" s="18">
        <f t="shared" si="9"/>
        <v>-0.07379635513469245</v>
      </c>
      <c r="N26" s="18"/>
      <c r="O26" s="18">
        <f>-O38/100/O24*M12</f>
        <v>-0.08016254407766935</v>
      </c>
      <c r="P26" s="18">
        <f t="shared" si="9"/>
        <v>-0.07720182519898006</v>
      </c>
      <c r="Q26" s="18">
        <f t="shared" si="9"/>
        <v>-0.137420315983303</v>
      </c>
      <c r="R26" s="18">
        <f t="shared" si="9"/>
        <v>-0.2073882883125588</v>
      </c>
      <c r="S26" s="18">
        <f t="shared" si="9"/>
        <v>-0.3369446936580123</v>
      </c>
      <c r="T26" s="18">
        <f t="shared" si="9"/>
        <v>-0.43019967575221324</v>
      </c>
      <c r="U26" s="18">
        <f t="shared" si="9"/>
        <v>-0.5230974430738949</v>
      </c>
    </row>
    <row r="27" spans="1:21" ht="12.75">
      <c r="A27">
        <f>A26+1</f>
        <v>14</v>
      </c>
      <c r="B27" s="9" t="s">
        <v>54</v>
      </c>
      <c r="C27" s="18"/>
      <c r="D27" s="18">
        <f>(-D41/100*(1+D38/100)+Input_external!H36/100*D39/100*(1+D42/100))/D24*C12</f>
        <v>0.4068079792669953</v>
      </c>
      <c r="E27" s="18">
        <f>(-E41/100*(1+E38/100)+Input_external!I36/100*E39/100*(1+E42/100))/E24*D12</f>
        <v>-4.2241594737233825</v>
      </c>
      <c r="F27" s="18">
        <f>(-F41/100*(1+F38/100)+Input_external!J36/100*F39/100*(1+F42/100))/F24*E12</f>
        <v>-5.6252549233961515</v>
      </c>
      <c r="G27" s="18">
        <f>(-G41/100*(1+G38/100)+Input_external!K36/100*G39/100*(1+G42/100))/G24*F12</f>
        <v>-3.350078461130366</v>
      </c>
      <c r="H27" s="18">
        <f>(-H41/100*(1+H38/100)+Input_external!L36/100*H39/100*(1+H42/100))/H24*G12</f>
        <v>-1.7045907559797486</v>
      </c>
      <c r="I27" s="18">
        <f>(-I41/100*(1+I38/100)+Input_external!M36/100*I39/100*(1+I42/100))/I24*H12</f>
        <v>-0.4808311162442074</v>
      </c>
      <c r="J27" s="18">
        <f>(-J41/100*(1+J38/100)+Input_external!N36/100*J39/100*(1+J42/100))/J24*I12</f>
        <v>-0.8591362778096026</v>
      </c>
      <c r="K27" s="18">
        <f>(-K41/100*(1+K38/100)+Input_external!O36/100*K39/100*(1+K42/100))/K24*J12</f>
        <v>0.9482769942602189</v>
      </c>
      <c r="L27" s="18">
        <f>(-L41/100*(1+L38/100)+Input_external!P36/100*L39/100*(1+L42/100))/L24*K12</f>
        <v>-0.4687002608649138</v>
      </c>
      <c r="M27" s="18">
        <f>(-M41/100*(1+M38/100)+Input_external!Q36/100*M39/100*(1+M42/100))/M24*L12</f>
        <v>-0.4721659575234061</v>
      </c>
      <c r="N27" s="18"/>
      <c r="O27" s="18">
        <f>(-O41/100*(1+O38/100)+Input_external!R36/100*O39/100*(1+O42/100))/O24*M12</f>
        <v>0.0192443330511746</v>
      </c>
      <c r="P27" s="18">
        <f>(-P41/100*(1+P38/100)+Input_external!S36/100*P39/100*(1+P42/100))/P24*O12</f>
        <v>-0.005354567675759972</v>
      </c>
      <c r="Q27" s="18">
        <f>(-Q41/100*(1+Q38/100)+Input_external!T36/100*Q39/100*(1+Q42/100))/Q24*P12</f>
        <v>-0.07543277300930824</v>
      </c>
      <c r="R27" s="18">
        <f>(-R41/100*(1+R38/100)+Input_external!U36/100*R39/100*(1+R42/100))/R24*Q12</f>
        <v>-0.03971397500151012</v>
      </c>
      <c r="S27" s="18">
        <f>(-S41/100*(1+S38/100)+Input_external!V36/100*S39/100*(1+S42/100))/S24*R12</f>
        <v>-0.05221949123511304</v>
      </c>
      <c r="T27" s="18">
        <f>(-T41/100*(1+T38/100)+Input_external!W36/100*T39/100*(1+T42/100))/T24*S12</f>
        <v>-0.10088812136584893</v>
      </c>
      <c r="U27" s="18">
        <f>(-U41/100*(1+U38/100)+Input_external!W36/100*U39/100*(1+U42/100))/U24*T12</f>
        <v>-0.12267400767033901</v>
      </c>
    </row>
    <row r="28" spans="1:21" ht="12.75">
      <c r="A28">
        <f>A26+1</f>
        <v>14</v>
      </c>
      <c r="B28" s="11" t="s">
        <v>111</v>
      </c>
      <c r="C28" s="18"/>
      <c r="D28" s="18">
        <f>D14-D15</f>
        <v>9.284875787211469</v>
      </c>
      <c r="E28" s="18">
        <f>E14-E15</f>
        <v>14.94041933057899</v>
      </c>
      <c r="F28" s="18">
        <f>F14-F15</f>
        <v>11.956488989047685</v>
      </c>
      <c r="G28" s="18">
        <f aca="true" t="shared" si="10" ref="G28:M28">G14-G15</f>
        <v>17.064478488858914</v>
      </c>
      <c r="H28" s="18">
        <f t="shared" si="10"/>
        <v>16.310233749188242</v>
      </c>
      <c r="I28" s="18">
        <f t="shared" si="10"/>
        <v>23.94058302207131</v>
      </c>
      <c r="J28" s="18">
        <f t="shared" si="10"/>
        <v>21.586736873311203</v>
      </c>
      <c r="K28" s="18">
        <f t="shared" si="10"/>
        <v>1.9690825205765923</v>
      </c>
      <c r="L28" s="18">
        <f t="shared" si="10"/>
        <v>8.722678062036529</v>
      </c>
      <c r="M28" s="18">
        <f t="shared" si="10"/>
        <v>10.901774563416097</v>
      </c>
      <c r="N28" s="18"/>
      <c r="O28" s="49">
        <f>Table!S28</f>
        <v>6.308554552683894</v>
      </c>
      <c r="P28" s="18">
        <f>Table!T28*Table!T$37/P$37</f>
        <v>4.869940523916018</v>
      </c>
      <c r="Q28" s="18">
        <f>Table!U28*Table!U$37/Q$37</f>
        <v>5.337610231827467</v>
      </c>
      <c r="R28" s="18">
        <f>Table!V28*Table!V$37/R$37</f>
        <v>5.264611324706594</v>
      </c>
      <c r="S28" s="18">
        <f>Table!W28*Table!W$37/S$37</f>
        <v>5.417813306603265</v>
      </c>
      <c r="T28" s="18">
        <f>Table!X28*Table!X$37/T$37</f>
        <v>6.2916911913137366</v>
      </c>
      <c r="U28" s="18">
        <v>0</v>
      </c>
    </row>
    <row r="29" spans="2:21" ht="12.75">
      <c r="B29" s="7"/>
      <c r="C29" s="7"/>
      <c r="D29" s="31"/>
      <c r="E29" s="31"/>
      <c r="F29" s="31"/>
      <c r="G29" s="31"/>
      <c r="H29" s="31"/>
      <c r="I29" s="31"/>
      <c r="U29" s="42"/>
    </row>
    <row r="30" spans="2:21" ht="12.75">
      <c r="B30" t="s">
        <v>28</v>
      </c>
      <c r="C30" s="19">
        <f aca="true" t="shared" si="11" ref="C30:T30">C12/C18*100</f>
        <v>113.49478546930776</v>
      </c>
      <c r="D30" s="19">
        <f t="shared" si="11"/>
        <v>113.15817355651112</v>
      </c>
      <c r="E30" s="19">
        <f t="shared" si="11"/>
        <v>89.7160968113715</v>
      </c>
      <c r="F30" s="19">
        <f t="shared" si="11"/>
        <v>64.04721454639892</v>
      </c>
      <c r="G30" s="19">
        <f t="shared" si="11"/>
        <v>35.2006552006552</v>
      </c>
      <c r="H30" s="19">
        <f t="shared" si="11"/>
        <v>9.790648988136777</v>
      </c>
      <c r="I30" s="19">
        <f t="shared" si="11"/>
        <v>9.128859483301827</v>
      </c>
      <c r="J30" s="19">
        <f t="shared" si="11"/>
        <v>7.213501052207485</v>
      </c>
      <c r="K30" s="19">
        <f t="shared" si="11"/>
        <v>11.806021549913401</v>
      </c>
      <c r="L30" s="19">
        <f t="shared" si="11"/>
        <v>9.361565380423272</v>
      </c>
      <c r="M30" s="19">
        <f t="shared" si="11"/>
        <v>6.623719980204909</v>
      </c>
      <c r="N30" s="19"/>
      <c r="O30" s="19">
        <f t="shared" si="11"/>
        <v>7.102458151117677</v>
      </c>
      <c r="P30" s="19">
        <f t="shared" si="11"/>
        <v>15.206293620623427</v>
      </c>
      <c r="Q30" s="19">
        <f t="shared" si="11"/>
        <v>23.82000228329881</v>
      </c>
      <c r="R30" s="19">
        <f t="shared" si="11"/>
        <v>34.604732191074355</v>
      </c>
      <c r="S30" s="19">
        <f t="shared" si="11"/>
        <v>46.72504698507081</v>
      </c>
      <c r="T30" s="19">
        <f t="shared" si="11"/>
        <v>60.40789437303835</v>
      </c>
      <c r="U30" s="19"/>
    </row>
    <row r="31" spans="2:21" ht="12.75">
      <c r="B31" s="7"/>
      <c r="C31" s="7"/>
      <c r="D31" s="31"/>
      <c r="E31" s="31"/>
      <c r="F31" s="31"/>
      <c r="G31" s="31"/>
      <c r="H31" s="31"/>
      <c r="I31" s="31"/>
      <c r="U31" s="42"/>
    </row>
    <row r="32" spans="2:21" ht="12.75">
      <c r="B32" s="48" t="s">
        <v>76</v>
      </c>
      <c r="C32" s="7"/>
      <c r="D32" s="19">
        <f>Input_external!H27</f>
        <v>-0.8771599999999999</v>
      </c>
      <c r="E32" s="19">
        <f>Input_external!I27</f>
        <v>-4.751099999999999</v>
      </c>
      <c r="F32" s="19">
        <f>Input_external!J27</f>
        <v>-6.174078</v>
      </c>
      <c r="G32" s="19">
        <f>Input_external!K27</f>
        <v>-15.4545</v>
      </c>
      <c r="H32" s="19">
        <f>Input_external!L27</f>
        <v>-14.290199999999999</v>
      </c>
      <c r="I32" s="19">
        <f>Input_external!M27</f>
        <v>-29.25</v>
      </c>
      <c r="J32" s="19">
        <f>Input_external!N27</f>
        <v>-32.552195</v>
      </c>
      <c r="K32" s="19">
        <f>Input_external!O27</f>
        <v>0.9994119999999901</v>
      </c>
      <c r="L32" s="19">
        <f>Input_external!P27</f>
        <v>-9.66064582097</v>
      </c>
      <c r="M32" s="19">
        <f>Input_external!Q27</f>
        <v>-17.14824545487104</v>
      </c>
      <c r="N32" s="19"/>
      <c r="O32" s="35">
        <f aca="true" t="shared" si="12" ref="O32:T32">O71</f>
        <v>-9.961855854721192</v>
      </c>
      <c r="P32" s="35">
        <f t="shared" si="12"/>
        <v>-1.9764551071828982</v>
      </c>
      <c r="Q32" s="35">
        <f t="shared" si="12"/>
        <v>-2.330394631244152</v>
      </c>
      <c r="R32" s="35">
        <f t="shared" si="12"/>
        <v>-0.9853092277744193</v>
      </c>
      <c r="S32" s="35">
        <f t="shared" si="12"/>
        <v>-0.5134722936157008</v>
      </c>
      <c r="T32" s="35">
        <f t="shared" si="12"/>
        <v>-0.969866034384606</v>
      </c>
      <c r="U32" s="52"/>
    </row>
    <row r="33" spans="2:21" ht="12.75">
      <c r="B33" s="12" t="s">
        <v>38</v>
      </c>
      <c r="C33" s="7"/>
      <c r="D33" s="19">
        <f aca="true" t="shared" si="13" ref="D33:T33">D32/D37*100</f>
        <v>-1.5453651588396569</v>
      </c>
      <c r="E33" s="19">
        <f t="shared" si="13"/>
        <v>-7.00095928450393</v>
      </c>
      <c r="F33" s="19">
        <f t="shared" si="13"/>
        <v>-7.2343915466465045</v>
      </c>
      <c r="G33" s="19">
        <f t="shared" si="13"/>
        <v>-14.97235056239753</v>
      </c>
      <c r="H33" s="19">
        <f t="shared" si="13"/>
        <v>-12.183821344623622</v>
      </c>
      <c r="I33" s="19">
        <f t="shared" si="13"/>
        <v>-21.77905804732329</v>
      </c>
      <c r="J33" s="19">
        <f t="shared" si="13"/>
        <v>-18.956835317007386</v>
      </c>
      <c r="K33" s="19">
        <f t="shared" si="13"/>
        <v>0.7244024371680038</v>
      </c>
      <c r="L33" s="19">
        <f t="shared" si="13"/>
        <v>-6.00863563507751</v>
      </c>
      <c r="M33" s="19">
        <f t="shared" si="13"/>
        <v>-9.017597987456698</v>
      </c>
      <c r="N33" s="19"/>
      <c r="O33" s="19">
        <f t="shared" si="13"/>
        <v>-5.128478529678023</v>
      </c>
      <c r="P33" s="19">
        <f t="shared" si="13"/>
        <v>-0.9883421919366617</v>
      </c>
      <c r="Q33" s="19">
        <f t="shared" si="13"/>
        <v>-1.1158736965612295</v>
      </c>
      <c r="R33" s="19">
        <f t="shared" si="13"/>
        <v>-0.45642790891311447</v>
      </c>
      <c r="S33" s="19">
        <f t="shared" si="13"/>
        <v>-0.22858608617064083</v>
      </c>
      <c r="T33" s="19">
        <f t="shared" si="13"/>
        <v>-0.4134369946980956</v>
      </c>
      <c r="U33" s="19"/>
    </row>
    <row r="34" spans="2:21" ht="12.75">
      <c r="B34" s="7"/>
      <c r="C34" s="7"/>
      <c r="D34" s="31"/>
      <c r="E34" s="31"/>
      <c r="F34" s="31"/>
      <c r="G34" s="31"/>
      <c r="H34" s="31"/>
      <c r="I34" s="31"/>
      <c r="U34" s="22" t="s">
        <v>131</v>
      </c>
    </row>
    <row r="35" spans="2:21" ht="12.75">
      <c r="B35" s="48" t="s">
        <v>46</v>
      </c>
      <c r="C35" s="14"/>
      <c r="D35" s="39"/>
      <c r="E35" s="39"/>
      <c r="F35" s="39"/>
      <c r="G35" s="39"/>
      <c r="H35" s="39"/>
      <c r="I35" s="39"/>
      <c r="J35" s="39"/>
      <c r="U35" s="30" t="s">
        <v>132</v>
      </c>
    </row>
    <row r="36" spans="2:21" ht="12.75">
      <c r="B36" s="5"/>
      <c r="C36" s="5"/>
      <c r="D36" s="32"/>
      <c r="E36" s="32"/>
      <c r="F36" s="32"/>
      <c r="G36" s="32"/>
      <c r="H36" s="32"/>
      <c r="I36" s="32"/>
      <c r="J36" s="28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2:21" ht="12.75">
      <c r="B37" s="5" t="s">
        <v>75</v>
      </c>
      <c r="C37" s="18">
        <f>IF(ISNUMBER(Input_external!G$11),Input_external!G$11,".")</f>
        <v>54.74454445379784</v>
      </c>
      <c r="D37" s="18">
        <f>IF(ISNUMBER(Input_external!H$11),Input_external!H$11,".")</f>
        <v>56.76069471234998</v>
      </c>
      <c r="E37" s="18">
        <f>IF(ISNUMBER(Input_external!I$11),Input_external!I$11,".")</f>
        <v>67.86355707733058</v>
      </c>
      <c r="F37" s="18">
        <f>IF(ISNUMBER(Input_external!J$11),Input_external!J$11,".")</f>
        <v>85.34343158219005</v>
      </c>
      <c r="G37" s="18">
        <f>IF(ISNUMBER(Input_external!K$11),Input_external!K$11,".")</f>
        <v>103.22026548599102</v>
      </c>
      <c r="H37" s="18">
        <f>IF(ISNUMBER(Input_external!L$11),Input_external!L$11,".")</f>
        <v>117.28832519614924</v>
      </c>
      <c r="I37" s="18">
        <f>IF(ISNUMBER(Input_external!M$11),Input_external!M$11,".")</f>
        <v>134.30332908082272</v>
      </c>
      <c r="J37" s="18">
        <f>IF(ISNUMBER(Input_external!N$11),Input_external!N$11,".")</f>
        <v>171.71745418284743</v>
      </c>
      <c r="K37" s="42">
        <f>IF(ISNUMBER(Input_external!O$11),Input_external!O$11,".")</f>
        <v>137.96364406325236</v>
      </c>
      <c r="L37" s="42">
        <f>IF(ISNUMBER(Input_external!P$11),Input_external!P$11,".")</f>
        <v>160.77935837168434</v>
      </c>
      <c r="M37" s="42">
        <f>IF(ISNUMBER(Input_external!Q$11),Input_external!Q$11,".")</f>
        <v>190.16422642397583</v>
      </c>
      <c r="O37" s="42">
        <f>M37*(1+O38/100)*(1+O41/100)</f>
        <v>194.24583328316322</v>
      </c>
      <c r="P37" s="42">
        <f aca="true" t="shared" si="14" ref="P37:U37">O37*(1+P38/100)*(1+P41/100)</f>
        <v>199.97680189186542</v>
      </c>
      <c r="Q37" s="42">
        <f t="shared" si="14"/>
        <v>208.84035876333428</v>
      </c>
      <c r="R37" s="42">
        <f t="shared" si="14"/>
        <v>215.87400957157126</v>
      </c>
      <c r="S37" s="42">
        <f t="shared" si="14"/>
        <v>224.6297236273562</v>
      </c>
      <c r="T37" s="42">
        <f t="shared" si="14"/>
        <v>234.5861756016372</v>
      </c>
      <c r="U37" s="42">
        <f t="shared" si="14"/>
        <v>244.98393576218746</v>
      </c>
    </row>
    <row r="38" spans="2:21" ht="12.75">
      <c r="B38" s="5" t="s">
        <v>44</v>
      </c>
      <c r="C38" s="5"/>
      <c r="D38" s="18">
        <f>(Input_external!H13/Input_external!G13-1)*100</f>
        <v>4.699999999999993</v>
      </c>
      <c r="E38" s="18">
        <f>(Input_external!I13/Input_external!H13-1)*100</f>
        <v>6.899999999999995</v>
      </c>
      <c r="F38" s="18">
        <f>(Input_external!J13/Input_external!I13-1)*100</f>
        <v>5.199999999999916</v>
      </c>
      <c r="G38" s="18">
        <f>(Input_external!K13/Input_external!J13-1)*100</f>
        <v>5.100000000000082</v>
      </c>
      <c r="H38" s="18">
        <f>(Input_external!L13/Input_external!K13-1)*100</f>
        <v>2.0000000000000684</v>
      </c>
      <c r="I38" s="18">
        <f>(Input_external!M13/Input_external!L13-1)*100</f>
        <v>3.000000000000047</v>
      </c>
      <c r="J38" s="18">
        <f>(Input_external!N13/Input_external!M13-1)*100</f>
        <v>2.3999999999999577</v>
      </c>
      <c r="K38" s="42">
        <f>(Input_external!O13/Input_external!N13-1)*100</f>
        <v>2.4389514241625054</v>
      </c>
      <c r="L38" s="42">
        <f>(Input_external!P13/Input_external!O13-1)*100</f>
        <v>3.286748135925688</v>
      </c>
      <c r="M38" s="42">
        <f>(Input_external!Q13/Input_external!P13-1)*100</f>
        <v>2.4703910269243456</v>
      </c>
      <c r="O38" s="42">
        <f>(Input_external!R13/Input_external!Q13-1)*100</f>
        <v>3.060629831131245</v>
      </c>
      <c r="P38" s="51">
        <f>Table!T38-$L$54*0.25</f>
        <v>3.160738886899474</v>
      </c>
      <c r="Q38" s="51">
        <f>Table!U38-$L$54*0.25</f>
        <v>3.1033853617129754</v>
      </c>
      <c r="R38" s="51">
        <f>Table!V38-$L$54*0.25</f>
        <v>3.1487728094546714</v>
      </c>
      <c r="S38" s="51">
        <f>Table!W38-$L$54*0.25</f>
        <v>3.8548300877481196</v>
      </c>
      <c r="T38" s="51">
        <f>Table!X38-$L$54*0.25</f>
        <v>3.9243135213523423</v>
      </c>
      <c r="U38" s="42">
        <f>T38</f>
        <v>3.9243135213523423</v>
      </c>
    </row>
    <row r="39" spans="2:21" ht="12.75">
      <c r="B39" s="11" t="s">
        <v>53</v>
      </c>
      <c r="C39" s="11"/>
      <c r="D39" s="18">
        <f>Input_external!H33</f>
        <v>-3.0959352123882455</v>
      </c>
      <c r="E39" s="18">
        <f>Input_external!I33</f>
        <v>2.954842044059691</v>
      </c>
      <c r="F39" s="18">
        <f>Input_external!J33</f>
        <v>7.3956536641074155</v>
      </c>
      <c r="G39" s="18">
        <f>Input_external!K33</f>
        <v>-1.652660131054151</v>
      </c>
      <c r="H39" s="18">
        <f>Input_external!L33</f>
        <v>0.8667873268701332</v>
      </c>
      <c r="I39" s="18">
        <f>Input_external!M33</f>
        <v>4.840670357307153</v>
      </c>
      <c r="J39" s="18">
        <f>Input_external!N33</f>
        <v>7.292344091615721</v>
      </c>
      <c r="K39" s="18">
        <f>Input_external!O33</f>
        <v>-11.203078746447526</v>
      </c>
      <c r="L39" s="18">
        <f>Input_external!P33</f>
        <v>-2.9526164307339897</v>
      </c>
      <c r="M39" s="18">
        <f>Input_external!Q33</f>
        <v>3.084047038887072</v>
      </c>
      <c r="N39" s="18"/>
      <c r="O39" s="18">
        <f>Input_external!R33</f>
        <v>-2.3437633368933453</v>
      </c>
      <c r="P39" s="18">
        <f>Input_external!S33</f>
        <v>-2.088832794258577</v>
      </c>
      <c r="Q39" s="18">
        <f>Input_external!T33</f>
        <v>-1.7548474059878805</v>
      </c>
      <c r="R39" s="18">
        <f>Input_external!U33</f>
        <v>-1.716177295824528</v>
      </c>
      <c r="S39" s="18">
        <f>Input_external!V33</f>
        <v>-1.6847996711095492</v>
      </c>
      <c r="T39" s="18">
        <f>Input_external!W33</f>
        <v>-1.6715830875122517</v>
      </c>
      <c r="U39" s="42">
        <f>T39</f>
        <v>-1.6715830875122517</v>
      </c>
    </row>
    <row r="40" spans="2:21" ht="12.75">
      <c r="B40" s="11" t="s">
        <v>64</v>
      </c>
      <c r="C40" s="11"/>
      <c r="D40" s="18">
        <f>Input_external!H34</f>
        <v>2.1923014274317643</v>
      </c>
      <c r="E40" s="18">
        <f>Input_external!I34</f>
        <v>8.63366592530288</v>
      </c>
      <c r="F40" s="18">
        <f>Input_external!J34</f>
        <v>11.309193604047806</v>
      </c>
      <c r="G40" s="18">
        <f>Input_external!K34</f>
        <v>17.01176675561664</v>
      </c>
      <c r="H40" s="18">
        <f>Input_external!L34</f>
        <v>10.443828491256802</v>
      </c>
      <c r="I40" s="18">
        <f>Input_external!M34</f>
        <v>6.038842699668545</v>
      </c>
      <c r="J40" s="18">
        <f>Input_external!N34</f>
        <v>16.37480674845806</v>
      </c>
      <c r="K40" s="18">
        <f>Input_external!O34</f>
        <v>-11.674280643559175</v>
      </c>
      <c r="L40" s="18">
        <f>Input_external!P34</f>
        <v>16.26184179685266</v>
      </c>
      <c r="M40" s="18">
        <f>Input_external!Q34</f>
        <v>11.97180418387267</v>
      </c>
      <c r="N40" s="18"/>
      <c r="O40" s="18">
        <f>Input_external!R34</f>
        <v>1.4916035372531944</v>
      </c>
      <c r="P40" s="18">
        <f>Input_external!S34</f>
        <v>1.9251208601722025</v>
      </c>
      <c r="Q40" s="18">
        <f>Input_external!T34</f>
        <v>3.0981221359417166</v>
      </c>
      <c r="R40" s="18">
        <f>Input_external!U34</f>
        <v>1.9623466631461417</v>
      </c>
      <c r="S40" s="18">
        <f>Input_external!V34</f>
        <v>1.9106324312814449</v>
      </c>
      <c r="T40" s="18">
        <f>Input_external!W34</f>
        <v>2.197196160975312</v>
      </c>
      <c r="U40" s="42">
        <f>T40</f>
        <v>2.197196160975312</v>
      </c>
    </row>
    <row r="41" spans="2:21" s="24" customFormat="1" ht="12.75">
      <c r="B41" s="36" t="s">
        <v>65</v>
      </c>
      <c r="C41" s="36"/>
      <c r="D41" s="37">
        <f>((1+D39/100)*(1+D40/100)-1)*100</f>
        <v>-0.9715060168100309</v>
      </c>
      <c r="E41" s="37">
        <f aca="true" t="shared" si="15" ref="E41:R41">((1+E39/100)*(1+E40/100)-1)*100</f>
        <v>11.843619160067087</v>
      </c>
      <c r="F41" s="37">
        <f t="shared" si="15"/>
        <v>19.541236059313995</v>
      </c>
      <c r="G41" s="37">
        <f t="shared" si="15"/>
        <v>15.077959937804497</v>
      </c>
      <c r="H41" s="37">
        <f t="shared" si="15"/>
        <v>11.401141599929199</v>
      </c>
      <c r="I41" s="37">
        <f t="shared" si="15"/>
        <v>11.17183352546296</v>
      </c>
      <c r="J41" s="37">
        <f t="shared" si="15"/>
        <v>24.861258092508454</v>
      </c>
      <c r="K41" s="37">
        <f t="shared" si="15"/>
        <v>-21.569480536427488</v>
      </c>
      <c r="L41" s="37">
        <f t="shared" si="15"/>
        <v>12.82907555328483</v>
      </c>
      <c r="M41" s="37">
        <f t="shared" si="15"/>
        <v>15.425067295193816</v>
      </c>
      <c r="N41" s="37"/>
      <c r="O41" s="37">
        <f t="shared" si="15"/>
        <v>-0.8871194564780915</v>
      </c>
      <c r="P41" s="37">
        <f t="shared" si="15"/>
        <v>-0.2039244899427639</v>
      </c>
      <c r="Q41" s="37">
        <f t="shared" si="15"/>
        <v>1.2889074140169265</v>
      </c>
      <c r="R41" s="37">
        <f t="shared" si="15"/>
        <v>0.21249201942332707</v>
      </c>
      <c r="S41" s="37">
        <f>((1+S39/100)*(1+S40/100)-1)*100</f>
        <v>0.19364243125354896</v>
      </c>
      <c r="T41" s="37">
        <f>((1+T39/100)*(1+T40/100)-1)*100</f>
        <v>0.4888851140367301</v>
      </c>
      <c r="U41" s="42">
        <f>T41</f>
        <v>0.4888851140367301</v>
      </c>
    </row>
    <row r="42" spans="2:21" ht="12.75">
      <c r="B42" s="11" t="s">
        <v>45</v>
      </c>
      <c r="C42" s="11"/>
      <c r="D42" s="18">
        <f>IF(ISNUMBER(100*Input_external!H5/Input_external!G4),(100*Input_external!H5/Input_external!G4),".")</f>
        <v>10.440068719439672</v>
      </c>
      <c r="E42" s="18">
        <f>IF(ISNUMBER(100*Input_external!I5/Input_external!H4),(100*Input_external!I5/Input_external!H4),".")</f>
        <v>9.186467626534759</v>
      </c>
      <c r="F42" s="18">
        <f>IF(ISNUMBER(100*Input_external!J5/Input_external!I4),(100*Input_external!J5/Input_external!I4),".")</f>
        <v>8.52135262556149</v>
      </c>
      <c r="G42" s="18">
        <f>IF(ISNUMBER(100*Input_external!K5/Input_external!J4),(100*Input_external!K5/Input_external!J4),".")</f>
        <v>7.469868475321937</v>
      </c>
      <c r="H42" s="18">
        <f>IF(ISNUMBER(100*Input_external!L5/Input_external!K4),(100*Input_external!L5/Input_external!K4),".")</f>
        <v>12.563983248022335</v>
      </c>
      <c r="I42" s="18">
        <f>IF(ISNUMBER(100*Input_external!M5/Input_external!L4),(100*Input_external!M5/Input_external!L4),".")</f>
        <v>4.098360655737705</v>
      </c>
      <c r="J42" s="18">
        <f>IF(ISNUMBER(100*Input_external!N5/Input_external!M4),(100*Input_external!N5/Input_external!M4),".")</f>
        <v>3.278688524590164</v>
      </c>
      <c r="K42" s="42">
        <f>IF(ISNUMBER(100*Input_external!O5/Input_external!N4),(100*Input_external!O5/Input_external!N4),".")</f>
        <v>2.8711366323256207</v>
      </c>
      <c r="L42" s="42">
        <f>IF(ISNUMBER(100*Input_external!P5/Input_external!O4),(100*Input_external!P5/Input_external!O4),".")</f>
        <v>1.9342257733825916</v>
      </c>
      <c r="M42" s="42">
        <f>IF(ISNUMBER(100*Input_external!Q5/Input_external!P4),(100*Input_external!Q5/Input_external!P4),".")</f>
        <v>2.18636103076144</v>
      </c>
      <c r="O42" s="42">
        <f>IF(ISNUMBER(100*Input_external!R5/Input_external!Q4),(100*Input_external!R5/Input_external!Q4),".")</f>
        <v>2.457618941884664</v>
      </c>
      <c r="P42" s="51">
        <f>Table!T42+$L$53*0.25</f>
        <v>3.4621097968680568</v>
      </c>
      <c r="Q42" s="51">
        <f>Table!U42+$L$53*0.25</f>
        <v>3.4729625146295726</v>
      </c>
      <c r="R42" s="51">
        <f>Table!V42+$L$53*0.25</f>
        <v>3.859837827104112</v>
      </c>
      <c r="S42" s="51">
        <f>Table!W42+$L$53*0.25</f>
        <v>3.873774856179095</v>
      </c>
      <c r="T42" s="51">
        <f>Table!X42+$L$53*0.25</f>
        <v>3.861579902682818</v>
      </c>
      <c r="U42" s="42">
        <f>T42</f>
        <v>3.861579902682818</v>
      </c>
    </row>
    <row r="43" spans="2:20" ht="12.75">
      <c r="B43" s="11" t="s">
        <v>69</v>
      </c>
      <c r="C43" s="11"/>
      <c r="D43" s="18">
        <f>(Input_external!H7/Input_external!G7-1)*100</f>
        <v>0.03679668829805749</v>
      </c>
      <c r="E43" s="18">
        <f>(Input_external!I7/Input_external!H7-1)*100</f>
        <v>30.09041858828656</v>
      </c>
      <c r="F43" s="18">
        <f>(Input_external!J7/Input_external!I7-1)*100</f>
        <v>30.88812139838646</v>
      </c>
      <c r="G43" s="18">
        <f>(Input_external!K7/Input_external!J7-1)*100</f>
        <v>43.351173568861334</v>
      </c>
      <c r="H43" s="18">
        <f>(Input_external!L7/Input_external!K7-1)*100</f>
        <v>17.362817362817353</v>
      </c>
      <c r="I43" s="18">
        <f>(Input_external!M7/Input_external!L7-1)*100</f>
        <v>10.746685275645484</v>
      </c>
      <c r="J43" s="18">
        <f>(Input_external!N7/Input_external!M7-1)*100</f>
        <v>29.304024889729053</v>
      </c>
      <c r="K43" s="42">
        <f>(Input_external!O7/Input_external!N7-1)*100</f>
        <v>-41.31420583964647</v>
      </c>
      <c r="L43" s="42">
        <f>(Input_external!P7/Input_external!O7-1)*100</f>
        <v>25.970139332677444</v>
      </c>
      <c r="M43" s="42">
        <f>(Input_external!Q7/Input_external!P7-1)*100</f>
        <v>26.57877107911211</v>
      </c>
      <c r="O43" s="42">
        <f>(Input_external!R7/Input_external!Q7-1)*100</f>
        <v>-8.314751312826118</v>
      </c>
      <c r="P43" s="42">
        <f>(Input_external!S7/Input_external!R7-1)*100</f>
        <v>-3.3885534213677904</v>
      </c>
      <c r="Q43" s="42">
        <f>(Input_external!T7/Input_external!S7-1)*100</f>
        <v>0.6925607957811497</v>
      </c>
      <c r="R43" s="42">
        <f>(Input_external!U7/Input_external!T7-1)*100</f>
        <v>-2.349152716427272</v>
      </c>
      <c r="S43" s="42">
        <f>(Input_external!V7/Input_external!U7-1)*100</f>
        <v>-0.4436811669179752</v>
      </c>
      <c r="T43" s="42">
        <f>(Input_external!W7/Input_external!V7-1)*100</f>
        <v>0.7579990791025448</v>
      </c>
    </row>
    <row r="44" spans="2:20" ht="12.75">
      <c r="B44" s="11" t="s">
        <v>70</v>
      </c>
      <c r="C44" s="11"/>
      <c r="D44" s="18">
        <f>(Input_external!H8/Input_external!G8-1)*100</f>
        <v>21.540010065425253</v>
      </c>
      <c r="E44" s="18">
        <f>(Input_external!I8/Input_external!H8-1)*100</f>
        <v>12.298136645962732</v>
      </c>
      <c r="F44" s="18">
        <f>(Input_external!J8/Input_external!I8-1)*100</f>
        <v>34.05850540806294</v>
      </c>
      <c r="G44" s="18">
        <f>(Input_external!K8/Input_external!J8-1)*100</f>
        <v>12.941230402493819</v>
      </c>
      <c r="H44" s="18">
        <f>(Input_external!L8/Input_external!K8-1)*100</f>
        <v>3.340504119819787</v>
      </c>
      <c r="I44" s="18">
        <f>(Input_external!M8/Input_external!L8-1)*100</f>
        <v>30.714846818538888</v>
      </c>
      <c r="J44" s="18">
        <f>(Input_external!N8/Input_external!M8-1)*100</f>
        <v>47.44591346153846</v>
      </c>
      <c r="K44" s="42">
        <f>(Input_external!O8/Input_external!N8-1)*100</f>
        <v>0.020379050336249982</v>
      </c>
      <c r="L44" s="42">
        <f>(Input_external!P8/Input_external!O8-1)*100</f>
        <v>3.4839262428687734</v>
      </c>
      <c r="M44" s="42">
        <f>(Input_external!Q8/Input_external!P8-1)*100</f>
        <v>11.325841860618159</v>
      </c>
      <c r="O44" s="42">
        <f>(Input_external!R8/Input_external!Q8-1)*100</f>
        <v>1.6240463094898239</v>
      </c>
      <c r="P44" s="42">
        <f>(Input_external!S8/Input_external!R8-1)*100</f>
        <v>1.3781896600373544</v>
      </c>
      <c r="Q44" s="42">
        <f>(Input_external!T8/Input_external!S8-1)*100</f>
        <v>0.22698804068845835</v>
      </c>
      <c r="R44" s="42">
        <f>(Input_external!U8/Input_external!T8-1)*100</f>
        <v>-1.3526992764481216</v>
      </c>
      <c r="S44" s="42">
        <f>(Input_external!V8/Input_external!U8-1)*100</f>
        <v>0.2609175789251905</v>
      </c>
      <c r="T44" s="42">
        <f>(Input_external!W8/Input_external!V8-1)*100</f>
        <v>2.1076190543933393</v>
      </c>
    </row>
    <row r="45" spans="2:3" ht="12.75">
      <c r="B45" s="11"/>
      <c r="C45" s="11"/>
    </row>
    <row r="46" spans="2:20" ht="12.75">
      <c r="B46" s="140" t="s">
        <v>179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</row>
    <row r="47" spans="4:9" ht="12.75">
      <c r="D47" s="1"/>
      <c r="E47" s="1"/>
      <c r="F47" s="28"/>
      <c r="G47" s="28"/>
      <c r="H47" s="28"/>
      <c r="I47" s="28"/>
    </row>
    <row r="48" spans="2:12" ht="12.75">
      <c r="B48" s="1" t="s">
        <v>56</v>
      </c>
      <c r="C48" s="16"/>
      <c r="J48" s="38" t="s">
        <v>57</v>
      </c>
      <c r="L48" s="38" t="s">
        <v>59</v>
      </c>
    </row>
    <row r="49" spans="10:12" ht="12.75">
      <c r="J49" s="20" t="s">
        <v>58</v>
      </c>
      <c r="L49" s="20" t="s">
        <v>60</v>
      </c>
    </row>
    <row r="50" spans="10:12" ht="12.75">
      <c r="J50" s="21"/>
      <c r="L50" s="21"/>
    </row>
    <row r="51" spans="2:12" ht="12.75">
      <c r="B51" t="s">
        <v>61</v>
      </c>
      <c r="J51" s="42">
        <f>-Table!O45</f>
        <v>-15.344347784252289</v>
      </c>
      <c r="L51" s="42">
        <f>Table!Q45</f>
        <v>7.968785501420509</v>
      </c>
    </row>
    <row r="52" spans="2:12" ht="12.75">
      <c r="B52" t="s">
        <v>62</v>
      </c>
      <c r="J52" s="42">
        <f>Table!O46</f>
        <v>1.22504412569226</v>
      </c>
      <c r="L52" s="19" t="s">
        <v>71</v>
      </c>
    </row>
    <row r="53" spans="2:14" ht="12.75">
      <c r="B53" t="s">
        <v>63</v>
      </c>
      <c r="J53" s="42">
        <f>Table!O42</f>
        <v>6.255051331167772</v>
      </c>
      <c r="K53" s="40"/>
      <c r="L53" s="42">
        <f>Table!Q42</f>
        <v>3.8399479075665797</v>
      </c>
      <c r="M53" s="40"/>
      <c r="N53" s="40"/>
    </row>
    <row r="54" spans="2:12" ht="12.75">
      <c r="B54" t="s">
        <v>44</v>
      </c>
      <c r="D54" s="1"/>
      <c r="E54" s="1"/>
      <c r="F54" s="28"/>
      <c r="G54" s="28"/>
      <c r="H54" s="28"/>
      <c r="I54" s="28"/>
      <c r="J54" s="42">
        <f>Table!O38</f>
        <v>3.7496090587012603</v>
      </c>
      <c r="L54" s="42">
        <f>Table!Q38</f>
        <v>1.6250931000133242</v>
      </c>
    </row>
    <row r="55" spans="2:12" ht="12.75">
      <c r="B55" s="36" t="s">
        <v>65</v>
      </c>
      <c r="J55" s="42">
        <f>Table!O41</f>
        <v>9.961020467032732</v>
      </c>
      <c r="L55" s="42">
        <f>Table!Q41</f>
        <v>12.90494760066813</v>
      </c>
    </row>
    <row r="57" spans="2:20" ht="12.75">
      <c r="B57" s="3"/>
      <c r="C57" s="3"/>
      <c r="D57" s="3"/>
      <c r="E57" s="3"/>
      <c r="F57" s="38"/>
      <c r="G57" s="38"/>
      <c r="H57" s="38"/>
      <c r="I57" s="38"/>
      <c r="J57" s="38"/>
      <c r="K57" s="44"/>
      <c r="L57" s="44"/>
      <c r="M57" s="44"/>
      <c r="N57" s="44"/>
      <c r="O57" s="44"/>
      <c r="P57" s="44"/>
      <c r="Q57" s="44"/>
      <c r="R57" s="44"/>
      <c r="S57" s="44"/>
      <c r="T57" s="44"/>
    </row>
    <row r="58" spans="2:20" ht="12.75">
      <c r="B58" s="10" t="s">
        <v>92</v>
      </c>
      <c r="C58" s="5"/>
      <c r="D58" s="5"/>
      <c r="E58" s="5"/>
      <c r="F58" s="21"/>
      <c r="G58" s="21"/>
      <c r="H58" s="21"/>
      <c r="I58" s="21"/>
      <c r="J58" s="21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2:3" ht="12.75">
      <c r="B59" s="10" t="s">
        <v>93</v>
      </c>
      <c r="C59" s="10"/>
    </row>
    <row r="60" spans="2:3" ht="12.75">
      <c r="B60" s="10" t="s">
        <v>94</v>
      </c>
      <c r="C60" s="10"/>
    </row>
    <row r="61" spans="2:3" ht="12.75">
      <c r="B61" s="10" t="s">
        <v>95</v>
      </c>
      <c r="C61" s="10"/>
    </row>
    <row r="62" spans="2:3" ht="12.75">
      <c r="B62" s="10" t="s">
        <v>91</v>
      </c>
      <c r="C62" s="10"/>
    </row>
    <row r="63" spans="2:3" ht="12.75">
      <c r="B63" s="10"/>
      <c r="C63" s="10"/>
    </row>
    <row r="65" ht="12.75">
      <c r="B65" s="1" t="s">
        <v>83</v>
      </c>
    </row>
    <row r="66" spans="2:20" ht="12.75">
      <c r="B66" t="s">
        <v>74</v>
      </c>
      <c r="M66" s="42">
        <f aca="true" t="shared" si="16" ref="M66:T66">M12/100*M37</f>
        <v>5.0875934142973</v>
      </c>
      <c r="O66" s="42">
        <f t="shared" si="16"/>
        <v>4.884482602310538</v>
      </c>
      <c r="P66" s="42">
        <f t="shared" si="16"/>
        <v>9.247613411272528</v>
      </c>
      <c r="Q66" s="42">
        <f t="shared" si="16"/>
        <v>14.2181554673583</v>
      </c>
      <c r="R66" s="42">
        <f t="shared" si="16"/>
        <v>19.63453425733691</v>
      </c>
      <c r="S66" s="42">
        <f t="shared" si="16"/>
        <v>25.716318569011477</v>
      </c>
      <c r="T66" s="42">
        <f t="shared" si="16"/>
        <v>32.655512790735976</v>
      </c>
    </row>
    <row r="67" spans="2:20" ht="12.75">
      <c r="B67" t="s">
        <v>79</v>
      </c>
      <c r="M67" s="42">
        <f>Input_external!Q28/100*'A1_historical'!M66</f>
        <v>0</v>
      </c>
      <c r="O67" s="42">
        <f>Input_external!R28/100*O66</f>
        <v>0</v>
      </c>
      <c r="P67" s="42">
        <f>Input_external!S28/100*P66</f>
        <v>0</v>
      </c>
      <c r="Q67" s="42">
        <f>Input_external!T28/100*Q66</f>
        <v>0</v>
      </c>
      <c r="R67" s="42">
        <f>Input_external!U28/100*R66</f>
        <v>0</v>
      </c>
      <c r="S67" s="42">
        <f>Input_external!V28/100*S66</f>
        <v>0</v>
      </c>
      <c r="T67" s="42">
        <f>Input_external!W28/100*T66</f>
        <v>0</v>
      </c>
    </row>
    <row r="68" spans="2:20" ht="12.75">
      <c r="B68" s="6" t="s">
        <v>80</v>
      </c>
      <c r="O68" s="42">
        <f>(O66-O67)/Input_external!R29</f>
        <v>0.846984113616254</v>
      </c>
      <c r="P68" s="42">
        <f>(P66-P67)/Input_external!S29</f>
        <v>1.3462403206193434</v>
      </c>
      <c r="Q68" s="42">
        <f>(Q66-Q67)/Input_external!T29</f>
        <v>1.7408835145826322</v>
      </c>
      <c r="R68" s="42">
        <f>(R66-R67)/Input_external!U29</f>
        <v>2.7946364281352682</v>
      </c>
      <c r="S68" s="42">
        <f>(S66-S67)/Input_external!V29</f>
        <v>3.3386329590840864</v>
      </c>
      <c r="T68" s="42">
        <f>(T66-T67)/Input_external!W29</f>
        <v>4.418300049703937</v>
      </c>
    </row>
    <row r="69" spans="2:20" ht="12.75">
      <c r="B69" s="6" t="s">
        <v>81</v>
      </c>
      <c r="O69" s="42">
        <f>O42/100*M66</f>
        <v>0.12503365943584716</v>
      </c>
      <c r="P69" s="42">
        <f>P42/100*O66</f>
        <v>0.16910615070090892</v>
      </c>
      <c r="Q69" s="42">
        <f>Q42/100*P66</f>
        <v>0.321166147271352</v>
      </c>
      <c r="R69" s="42">
        <f>R42/100*Q66</f>
        <v>0.5487977430455672</v>
      </c>
      <c r="S69" s="42">
        <f>S42/100*R66</f>
        <v>0.760597651188588</v>
      </c>
      <c r="T69" s="42">
        <f>T42/100*S66</f>
        <v>0.993056189570837</v>
      </c>
    </row>
    <row r="70" spans="2:20" ht="12.75">
      <c r="B70" t="s">
        <v>82</v>
      </c>
      <c r="O70" s="42">
        <f aca="true" t="shared" si="17" ref="O70:T70">O16/100*O37</f>
        <v>-10.933873627773293</v>
      </c>
      <c r="P70" s="42">
        <f t="shared" si="17"/>
        <v>-3.4918015785031504</v>
      </c>
      <c r="Q70" s="42">
        <f t="shared" si="17"/>
        <v>-4.392444293098136</v>
      </c>
      <c r="R70" s="42">
        <f t="shared" si="17"/>
        <v>-4.328743398955255</v>
      </c>
      <c r="S70" s="42">
        <f t="shared" si="17"/>
        <v>-4.612702903888375</v>
      </c>
      <c r="T70" s="42">
        <f t="shared" si="17"/>
        <v>-6.38122227365938</v>
      </c>
    </row>
    <row r="71" spans="2:20" ht="12.75">
      <c r="B71" s="1" t="s">
        <v>33</v>
      </c>
      <c r="O71" s="42">
        <f>M67+O68+O69+O70</f>
        <v>-9.961855854721192</v>
      </c>
      <c r="P71" s="42">
        <f>O67+P68+P69+P70</f>
        <v>-1.9764551071828982</v>
      </c>
      <c r="Q71" s="42">
        <f>P67+Q68+Q69+Q70</f>
        <v>-2.330394631244152</v>
      </c>
      <c r="R71" s="42">
        <f>Q67+R68+R69+R70</f>
        <v>-0.9853092277744193</v>
      </c>
      <c r="S71" s="42">
        <f>R67+S68+S69+S70</f>
        <v>-0.5134722936157008</v>
      </c>
      <c r="T71" s="42">
        <f>S67+T68+T69+T70</f>
        <v>-0.969866034384606</v>
      </c>
    </row>
  </sheetData>
  <sheetProtection/>
  <mergeCells count="5">
    <mergeCell ref="B46:T46"/>
    <mergeCell ref="B3:T3"/>
    <mergeCell ref="B4:T4"/>
    <mergeCell ref="F7:M7"/>
    <mergeCell ref="C10:T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3:U71"/>
  <sheetViews>
    <sheetView zoomScalePageLayoutView="0" workbookViewId="0" topLeftCell="A2">
      <pane xSplit="2" ySplit="7" topLeftCell="G9" activePane="bottomRight" state="frozen"/>
      <selection pane="topLeft" activeCell="J55" sqref="J55"/>
      <selection pane="topRight" activeCell="J55" sqref="J55"/>
      <selection pane="bottomLeft" activeCell="J55" sqref="J55"/>
      <selection pane="bottomRight" activeCell="Q19" sqref="Q19"/>
    </sheetView>
  </sheetViews>
  <sheetFormatPr defaultColWidth="9.33203125" defaultRowHeight="12.75"/>
  <cols>
    <col min="1" max="1" width="4.5" style="0" customWidth="1"/>
    <col min="2" max="2" width="62.83203125" style="0" customWidth="1"/>
    <col min="3" max="3" width="8.83203125" style="0" customWidth="1"/>
    <col min="4" max="5" width="7" style="0" customWidth="1"/>
    <col min="6" max="6" width="7" style="18" customWidth="1"/>
    <col min="7" max="7" width="8.33203125" style="18" customWidth="1"/>
    <col min="8" max="8" width="7" style="18" customWidth="1"/>
    <col min="9" max="10" width="8.83203125" style="18" customWidth="1"/>
    <col min="11" max="13" width="8.83203125" style="42" customWidth="1"/>
    <col min="14" max="14" width="1.66796875" style="42" customWidth="1"/>
    <col min="15" max="20" width="8.83203125" style="42" customWidth="1"/>
  </cols>
  <sheetData>
    <row r="3" spans="2:20" ht="14.25">
      <c r="B3" s="139" t="s">
        <v>129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2:20" ht="15">
      <c r="B4" s="132" t="s">
        <v>27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0:20" ht="8.25" customHeight="1">
      <c r="J5" s="28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20" ht="5.25" customHeight="1">
      <c r="B6" s="2"/>
      <c r="C6" s="2"/>
      <c r="D6" s="2"/>
      <c r="E6" s="2"/>
      <c r="F6" s="29"/>
      <c r="G6" s="29"/>
      <c r="H6" s="29"/>
      <c r="I6" s="29"/>
      <c r="J6" s="29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2:20" ht="12.75">
      <c r="B7" s="17"/>
      <c r="C7" s="17"/>
      <c r="D7" s="17"/>
      <c r="E7" s="17"/>
      <c r="F7" s="130" t="s">
        <v>24</v>
      </c>
      <c r="G7" s="130"/>
      <c r="H7" s="130"/>
      <c r="I7" s="130"/>
      <c r="J7" s="130"/>
      <c r="K7" s="130"/>
      <c r="L7" s="130"/>
      <c r="M7" s="130"/>
      <c r="N7" s="53"/>
      <c r="O7" s="54" t="s">
        <v>21</v>
      </c>
      <c r="P7" s="54"/>
      <c r="Q7" s="54"/>
      <c r="R7" s="54"/>
      <c r="S7" s="54"/>
      <c r="T7" s="54"/>
    </row>
    <row r="8" spans="2:20" ht="12.75">
      <c r="B8" s="4"/>
      <c r="C8" s="64">
        <f>Table!C8</f>
        <v>2004</v>
      </c>
      <c r="D8" s="64">
        <f>Table!D8</f>
        <v>2005</v>
      </c>
      <c r="E8" s="64">
        <f>Table!E8</f>
        <v>2006</v>
      </c>
      <c r="F8" s="64">
        <f>Table!F8</f>
        <v>2007</v>
      </c>
      <c r="G8" s="64">
        <f>Table!G8</f>
        <v>2008</v>
      </c>
      <c r="H8" s="64">
        <f>Table!H8</f>
        <v>2009</v>
      </c>
      <c r="I8" s="64">
        <f>Table!I8</f>
        <v>2010</v>
      </c>
      <c r="J8" s="64">
        <f>Table!J8</f>
        <v>2011</v>
      </c>
      <c r="K8" s="64">
        <f>Table!K8</f>
        <v>2012</v>
      </c>
      <c r="L8" s="64">
        <f>Table!L8</f>
        <v>2013</v>
      </c>
      <c r="M8" s="64">
        <f>Table!M8</f>
        <v>2014</v>
      </c>
      <c r="N8" s="33"/>
      <c r="O8" s="64" t="str">
        <f>Table!S8</f>
        <v>2015</v>
      </c>
      <c r="P8" s="64">
        <f>Table!T8</f>
        <v>2016</v>
      </c>
      <c r="Q8" s="64">
        <f>Table!U8</f>
        <v>2017</v>
      </c>
      <c r="R8" s="64">
        <f>Table!V8</f>
        <v>2018</v>
      </c>
      <c r="S8" s="64">
        <f>Table!W8</f>
        <v>2019</v>
      </c>
      <c r="T8" s="64">
        <f>Table!X8</f>
        <v>2020</v>
      </c>
    </row>
    <row r="9" spans="2:21" ht="12.75">
      <c r="B9" s="5"/>
      <c r="C9" s="5"/>
      <c r="D9" s="23"/>
      <c r="E9" s="23"/>
      <c r="F9" s="21"/>
      <c r="G9" s="21"/>
      <c r="H9" s="21"/>
      <c r="I9" s="21"/>
      <c r="J9" s="21"/>
      <c r="K9" s="43"/>
      <c r="L9" s="43"/>
      <c r="M9" s="43"/>
      <c r="N9" s="43"/>
      <c r="O9" s="43"/>
      <c r="P9" s="43"/>
      <c r="Q9" s="43"/>
      <c r="R9" s="43"/>
      <c r="S9" s="43"/>
      <c r="T9" s="43"/>
      <c r="U9" s="61" t="s">
        <v>113</v>
      </c>
    </row>
    <row r="10" spans="3:21" ht="12.75">
      <c r="C10" s="131" t="s">
        <v>73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61" t="s">
        <v>114</v>
      </c>
    </row>
    <row r="11" spans="2:21" ht="12.75">
      <c r="B11" s="5"/>
      <c r="C11" s="5"/>
      <c r="D11" s="21"/>
      <c r="E11" s="21"/>
      <c r="F11" s="21"/>
      <c r="G11" s="21"/>
      <c r="H11" s="21"/>
      <c r="I11" s="21"/>
      <c r="J11" s="21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61" t="s">
        <v>146</v>
      </c>
    </row>
    <row r="12" spans="1:20" ht="12.75">
      <c r="A12">
        <f>A30+1</f>
        <v>1</v>
      </c>
      <c r="B12" t="s">
        <v>1</v>
      </c>
      <c r="C12" s="18">
        <f>Input_external!G4/Table!C37*100</f>
        <v>41.467145679070754</v>
      </c>
      <c r="D12" s="18">
        <f>Input_external!H4/Table!D37*100</f>
        <v>39.890279910674806</v>
      </c>
      <c r="E12" s="18">
        <f>Input_external!I4/Table!E37*100</f>
        <v>34.41184194543343</v>
      </c>
      <c r="F12" s="18">
        <f>Input_external!J4/Table!F37*100</f>
        <v>25.56845863291222</v>
      </c>
      <c r="G12" s="18">
        <f>Input_external!K4/Table!G37*100</f>
        <v>16.655644043400844</v>
      </c>
      <c r="H12" s="18">
        <f>Input_external!L4/Table!H37*100</f>
        <v>4.78478995297671</v>
      </c>
      <c r="I12" s="18">
        <f>Input_external!M4/Table!I37*100</f>
        <v>4.314859534503879</v>
      </c>
      <c r="J12" s="18">
        <f>Input_external!N4/Table!J37*100</f>
        <v>3.4481060927535223</v>
      </c>
      <c r="K12" s="18">
        <f>Input_external!O4/Table!K37*100</f>
        <v>4.122122200101253</v>
      </c>
      <c r="L12" s="18">
        <f>Input_external!P4/Table!L37*100</f>
        <v>3.533196087813501</v>
      </c>
      <c r="M12" s="18">
        <f>Input_external!Q4/Table!M37*100</f>
        <v>2.6753682908552867</v>
      </c>
      <c r="N12" s="18"/>
      <c r="O12" s="28">
        <f>M12+O14</f>
        <v>2.514588096821696</v>
      </c>
      <c r="P12" s="28">
        <f>O12+P14</f>
        <v>3.257152799669518</v>
      </c>
      <c r="Q12" s="28">
        <f>P12+Q14</f>
        <v>3.1047008779995235</v>
      </c>
      <c r="R12" s="28">
        <f>Q12+R14</f>
        <v>2.9311007203896717</v>
      </c>
      <c r="S12" s="28">
        <f>R12+S14</f>
        <v>2.7767192511712087</v>
      </c>
      <c r="T12" s="28">
        <f>S12+T14</f>
        <v>2.595834036504279</v>
      </c>
    </row>
    <row r="13" spans="3:20" ht="12.75">
      <c r="C13" s="18"/>
      <c r="D13" s="18"/>
      <c r="E13" s="18"/>
      <c r="K13" s="18"/>
      <c r="L13" s="18"/>
      <c r="M13" s="18"/>
      <c r="N13" s="18"/>
      <c r="O13" s="28"/>
      <c r="P13" s="28"/>
      <c r="Q13" s="28"/>
      <c r="R13" s="28"/>
      <c r="S13" s="28"/>
      <c r="T13" s="28"/>
    </row>
    <row r="14" spans="1:21" ht="12.75">
      <c r="A14">
        <f>A12+1</f>
        <v>2</v>
      </c>
      <c r="B14" t="s">
        <v>29</v>
      </c>
      <c r="C14" s="18"/>
      <c r="D14" s="18">
        <f>(D12-C12)</f>
        <v>-1.5768657683959475</v>
      </c>
      <c r="E14" s="18">
        <f>(E12-D12)</f>
        <v>-5.478437965241376</v>
      </c>
      <c r="F14" s="18">
        <f aca="true" t="shared" si="0" ref="F14:M14">(F12-E12)</f>
        <v>-8.843383312521212</v>
      </c>
      <c r="G14" s="18">
        <f t="shared" si="0"/>
        <v>-8.912814589511374</v>
      </c>
      <c r="H14" s="18">
        <f t="shared" si="0"/>
        <v>-11.870854090424135</v>
      </c>
      <c r="I14" s="18">
        <f t="shared" si="0"/>
        <v>-0.46993041847283124</v>
      </c>
      <c r="J14" s="18">
        <f t="shared" si="0"/>
        <v>-0.8667534417503564</v>
      </c>
      <c r="K14" s="18">
        <f t="shared" si="0"/>
        <v>0.6740161073477307</v>
      </c>
      <c r="L14" s="18">
        <f t="shared" si="0"/>
        <v>-0.5889261122877518</v>
      </c>
      <c r="M14" s="18">
        <f t="shared" si="0"/>
        <v>-0.8578277969582144</v>
      </c>
      <c r="N14" s="18"/>
      <c r="O14" s="18">
        <f aca="true" t="shared" si="1" ref="O14:T14">O15+O28</f>
        <v>-0.1607801940335909</v>
      </c>
      <c r="P14" s="18">
        <f t="shared" si="1"/>
        <v>0.7425647028478224</v>
      </c>
      <c r="Q14" s="18">
        <f t="shared" si="1"/>
        <v>-0.15245192166999466</v>
      </c>
      <c r="R14" s="18">
        <f t="shared" si="1"/>
        <v>-0.1736001576098518</v>
      </c>
      <c r="S14" s="18">
        <f t="shared" si="1"/>
        <v>-0.15438146921846307</v>
      </c>
      <c r="T14" s="18">
        <f t="shared" si="1"/>
        <v>-0.18088521466692953</v>
      </c>
      <c r="U14" s="62">
        <f>U15+U28</f>
        <v>6.938893903907228E-17</v>
      </c>
    </row>
    <row r="15" spans="1:21" ht="12.75">
      <c r="A15">
        <f aca="true" t="shared" si="2" ref="A15:A26">A14+1</f>
        <v>3</v>
      </c>
      <c r="B15" t="s">
        <v>39</v>
      </c>
      <c r="C15" s="18"/>
      <c r="D15" s="18">
        <f>D16+D20+D23</f>
        <v>-10.861741555607416</v>
      </c>
      <c r="E15" s="18">
        <f>E16+E20+E23</f>
        <v>-20.418857295820366</v>
      </c>
      <c r="F15" s="18">
        <f>F16+F20+F23</f>
        <v>-20.799872301568897</v>
      </c>
      <c r="G15" s="18">
        <f aca="true" t="shared" si="3" ref="G15:U15">G16+G20+G23</f>
        <v>-25.977293078370288</v>
      </c>
      <c r="H15" s="18">
        <f t="shared" si="3"/>
        <v>-28.181087839612378</v>
      </c>
      <c r="I15" s="18">
        <f t="shared" si="3"/>
        <v>-24.41051344054414</v>
      </c>
      <c r="J15" s="18">
        <f t="shared" si="3"/>
        <v>-22.453490315061558</v>
      </c>
      <c r="K15" s="18">
        <f t="shared" si="3"/>
        <v>-1.2950664132288616</v>
      </c>
      <c r="L15" s="18">
        <f t="shared" si="3"/>
        <v>-9.31160417432428</v>
      </c>
      <c r="M15" s="18">
        <f t="shared" si="3"/>
        <v>-11.759602360374313</v>
      </c>
      <c r="N15" s="18"/>
      <c r="O15" s="18">
        <f t="shared" si="3"/>
        <v>-6.469334746717485</v>
      </c>
      <c r="P15" s="18">
        <f t="shared" si="3"/>
        <v>-6.234327339272909</v>
      </c>
      <c r="Q15" s="18">
        <f t="shared" si="3"/>
        <v>-7.769334347595995</v>
      </c>
      <c r="R15" s="18">
        <f t="shared" si="3"/>
        <v>-7.656837289371276</v>
      </c>
      <c r="S15" s="18">
        <f t="shared" si="3"/>
        <v>-7.8253749265579</v>
      </c>
      <c r="T15" s="18">
        <f t="shared" si="3"/>
        <v>-9.054498326971054</v>
      </c>
      <c r="U15" s="18">
        <f t="shared" si="3"/>
        <v>6.938893903907228E-17</v>
      </c>
    </row>
    <row r="16" spans="1:21" s="25" customFormat="1" ht="12.75">
      <c r="A16">
        <f t="shared" si="2"/>
        <v>4</v>
      </c>
      <c r="B16" s="27" t="s">
        <v>40</v>
      </c>
      <c r="C16" s="18"/>
      <c r="D16" s="18">
        <f>Input_external!H26/Table!D37*100</f>
        <v>-11.85531648987353</v>
      </c>
      <c r="E16" s="18">
        <f>Input_external!I26/Table!E37*100</f>
        <v>-16.043957123545873</v>
      </c>
      <c r="F16" s="18">
        <f>Input_external!J26/Table!F37*100</f>
        <v>-15.356985015745572</v>
      </c>
      <c r="G16" s="18">
        <f>Input_external!K26/Table!G37*100</f>
        <v>-22.10128010482221</v>
      </c>
      <c r="H16" s="18">
        <f>Input_external!L26/Table!H37*100</f>
        <v>-26.5243790871535</v>
      </c>
      <c r="I16" s="18">
        <f>Input_external!M26/Table!I37*100</f>
        <v>-22.955499473469303</v>
      </c>
      <c r="J16" s="18">
        <f>Input_external!N26/Table!J37*100</f>
        <v>-20.173950961975272</v>
      </c>
      <c r="K16" s="18">
        <f>Input_external!O26/Table!K37*100</f>
        <v>-0.4208268083538204</v>
      </c>
      <c r="L16" s="18">
        <f>Input_external!P26/Table!L37*100</f>
        <v>-7.613319237580539</v>
      </c>
      <c r="M16" s="18">
        <f>Input_external!Q26/Table!M37*100</f>
        <v>-10.397963540003312</v>
      </c>
      <c r="N16" s="18"/>
      <c r="O16" s="18">
        <f>Input_external!R26/Table!S37*100</f>
        <v>-5.628884513488823</v>
      </c>
      <c r="P16" s="18">
        <f>Input_external!S26/P37*100</f>
        <v>-5.623248193668735</v>
      </c>
      <c r="Q16" s="18">
        <f>Input_external!T26/Q37*100</f>
        <v>-6.27052247707271</v>
      </c>
      <c r="R16" s="18">
        <f>Input_external!U26/R37*100</f>
        <v>-6.227289847175098</v>
      </c>
      <c r="S16" s="18">
        <f>Input_external!V26/S37*100</f>
        <v>-6.410461723791941</v>
      </c>
      <c r="T16" s="18">
        <f>Input_external!W26/T37*100</f>
        <v>-7.593857125126423</v>
      </c>
      <c r="U16" s="28">
        <f>-(U20+U23)</f>
        <v>1.456591014978854</v>
      </c>
    </row>
    <row r="17" spans="1:21" ht="12.75">
      <c r="A17">
        <f t="shared" si="2"/>
        <v>5</v>
      </c>
      <c r="B17" s="9" t="s">
        <v>66</v>
      </c>
      <c r="C17" s="42"/>
      <c r="D17" s="42">
        <f>D19-D18</f>
        <v>-9.723559635712395</v>
      </c>
      <c r="E17" s="42">
        <f>E19-E18</f>
        <v>-14.378851360356414</v>
      </c>
      <c r="F17" s="42">
        <f>F19-F18</f>
        <v>-14.361009128390478</v>
      </c>
      <c r="G17" s="42">
        <f aca="true" t="shared" si="4" ref="G17:T17">G19-G18</f>
        <v>-23.44791488962486</v>
      </c>
      <c r="H17" s="42">
        <f t="shared" si="4"/>
        <v>-27.163828920498567</v>
      </c>
      <c r="I17" s="42">
        <f t="shared" si="4"/>
        <v>-22.486412069373102</v>
      </c>
      <c r="J17" s="42">
        <f t="shared" si="4"/>
        <v>-19.224717229296974</v>
      </c>
      <c r="K17" s="42">
        <f t="shared" si="4"/>
        <v>0.6591678598914399</v>
      </c>
      <c r="L17" s="42">
        <f t="shared" si="4"/>
        <v>-6.151688824447941</v>
      </c>
      <c r="M17" s="42">
        <f t="shared" si="4"/>
        <v>-10.657318407381744</v>
      </c>
      <c r="O17" s="42">
        <f t="shared" si="4"/>
        <v>-6.516428195806682</v>
      </c>
      <c r="P17" s="42">
        <f t="shared" si="4"/>
        <v>-7.008928874935457</v>
      </c>
      <c r="Q17" s="42">
        <f t="shared" si="4"/>
        <v>-6.916731760287142</v>
      </c>
      <c r="R17" s="42">
        <f t="shared" si="4"/>
        <v>-6.125472899095861</v>
      </c>
      <c r="S17" s="42">
        <f t="shared" si="4"/>
        <v>-5.581964663672871</v>
      </c>
      <c r="T17" s="42">
        <f t="shared" si="4"/>
        <v>-4.896042562212152</v>
      </c>
      <c r="U17" s="42"/>
    </row>
    <row r="18" spans="1:21" ht="12.75">
      <c r="A18">
        <f t="shared" si="2"/>
        <v>6</v>
      </c>
      <c r="B18" s="34" t="s">
        <v>105</v>
      </c>
      <c r="C18" s="18">
        <f>Input_external!G7/Table!C37*100</f>
        <v>36.53660871519481</v>
      </c>
      <c r="D18" s="18">
        <f>Input_external!H7/Table!D37*100</f>
        <v>35.25178840992306</v>
      </c>
      <c r="E18" s="18">
        <f>Input_external!I7/Table!E37*100</f>
        <v>38.35637435028463</v>
      </c>
      <c r="F18" s="18">
        <f>Input_external!J7/Table!F37*100</f>
        <v>39.92126560693624</v>
      </c>
      <c r="G18" s="18">
        <f>Input_external!K7/Table!G37*100</f>
        <v>47.31628984874926</v>
      </c>
      <c r="H18" s="18">
        <f>Input_external!L7/Table!H37*100</f>
        <v>48.87101926311921</v>
      </c>
      <c r="I18" s="18">
        <f>Input_external!M7/Table!I37*100</f>
        <v>47.266140336549824</v>
      </c>
      <c r="J18" s="18">
        <f>Input_external!N7/Table!J37*100</f>
        <v>47.800729046796604</v>
      </c>
      <c r="K18" s="18">
        <f>Input_external!O7/Table!K37*100</f>
        <v>34.91542161492573</v>
      </c>
      <c r="L18" s="18">
        <f>Input_external!P7/Table!L37*100</f>
        <v>37.74150950440462</v>
      </c>
      <c r="M18" s="18">
        <f>Input_external!Q7/Table!M37*100</f>
        <v>40.390721510732135</v>
      </c>
      <c r="N18" s="18"/>
      <c r="O18" s="18">
        <f>Table!S18</f>
        <v>35.404476074610706</v>
      </c>
      <c r="P18" s="18">
        <f>Table!T18*Table!T$37/P$37</f>
        <v>48.74131158004104</v>
      </c>
      <c r="Q18" s="18">
        <f>Table!U18*Table!U$37/Q$37</f>
        <v>46.81142205663311</v>
      </c>
      <c r="R18" s="18">
        <f>Table!V18*Table!V$37/R$37</f>
        <v>44.048864957580875</v>
      </c>
      <c r="S18" s="18">
        <f>Table!W18*Table!W$37/S$37</f>
        <v>41.97986814251334</v>
      </c>
      <c r="T18" s="18">
        <f>Table!X18*Table!X$37/T$37</f>
        <v>40.34511210777729</v>
      </c>
      <c r="U18" s="18"/>
    </row>
    <row r="19" spans="1:21" ht="12.75">
      <c r="A19">
        <f t="shared" si="2"/>
        <v>7</v>
      </c>
      <c r="B19" s="34" t="s">
        <v>104</v>
      </c>
      <c r="C19" s="18"/>
      <c r="D19" s="18">
        <f>-Input_external!H8/Table!D37*100</f>
        <v>25.528228774210664</v>
      </c>
      <c r="E19" s="18">
        <f>-Input_external!I8/Table!E37*100</f>
        <v>23.977522989928218</v>
      </c>
      <c r="F19" s="18">
        <f>-Input_external!J8/Table!F37*100</f>
        <v>25.56025647854576</v>
      </c>
      <c r="G19" s="18">
        <f>-Input_external!K8/Table!G37*100</f>
        <v>23.868374959124395</v>
      </c>
      <c r="H19" s="18">
        <f>-Input_external!L8/Table!H37*100</f>
        <v>21.707190342620642</v>
      </c>
      <c r="I19" s="18">
        <f>-Input_external!M8/Table!I37*100</f>
        <v>24.779728267176722</v>
      </c>
      <c r="J19" s="18">
        <f>-Input_external!N8/Table!J37*100</f>
        <v>28.57601181749963</v>
      </c>
      <c r="K19" s="18">
        <f>-Input_external!O8/Table!K37*100</f>
        <v>35.57458947481717</v>
      </c>
      <c r="L19" s="18">
        <f>-Input_external!P8/Table!L37*100</f>
        <v>31.589820679956677</v>
      </c>
      <c r="M19" s="18">
        <f>-Input_external!Q8/Table!M37*100</f>
        <v>29.73340310335039</v>
      </c>
      <c r="N19" s="18"/>
      <c r="O19" s="18">
        <f>Table!S19</f>
        <v>28.888047878804024</v>
      </c>
      <c r="P19" s="18">
        <f>Table!T19*Table!T$37/P$37</f>
        <v>41.732382705105586</v>
      </c>
      <c r="Q19" s="18">
        <f>Table!U19*Table!U$37/Q$37</f>
        <v>39.89469029634597</v>
      </c>
      <c r="R19" s="18">
        <f>Table!V19*Table!V$37/R$37</f>
        <v>37.923392058485014</v>
      </c>
      <c r="S19" s="18">
        <f>Table!W19*Table!W$37/S$37</f>
        <v>36.39790347884047</v>
      </c>
      <c r="T19" s="18">
        <f>Table!X19*Table!X$37/T$37</f>
        <v>35.44906954556514</v>
      </c>
      <c r="U19" s="18"/>
    </row>
    <row r="20" spans="1:21" ht="12.75">
      <c r="A20">
        <f t="shared" si="2"/>
        <v>8</v>
      </c>
      <c r="B20" s="15" t="s">
        <v>26</v>
      </c>
      <c r="C20" s="18"/>
      <c r="D20" s="18">
        <f>-(D21+D22)</f>
        <v>-1.7089290483771113</v>
      </c>
      <c r="E20" s="18">
        <f>-(E21+E22)</f>
        <v>-0.913597852369438</v>
      </c>
      <c r="F20" s="18">
        <f>-(F21+F22)</f>
        <v>-0.726476529600182</v>
      </c>
      <c r="G20" s="18">
        <f aca="true" t="shared" si="5" ref="G20:T20">-(G21+G22)</f>
        <v>-1.0269301236624533</v>
      </c>
      <c r="H20" s="18">
        <f t="shared" si="5"/>
        <v>-1.5005756089164308</v>
      </c>
      <c r="I20" s="18">
        <f t="shared" si="5"/>
        <v>-1.0200789581139456</v>
      </c>
      <c r="J20" s="18">
        <f t="shared" si="5"/>
        <v>-1.4500564382631769</v>
      </c>
      <c r="K20" s="18">
        <f t="shared" si="5"/>
        <v>-1.8410647364717936</v>
      </c>
      <c r="L20" s="18">
        <f t="shared" si="5"/>
        <v>-1.1817437382774247</v>
      </c>
      <c r="M20" s="18">
        <f t="shared" si="5"/>
        <v>-0.8809882228706428</v>
      </c>
      <c r="N20" s="18"/>
      <c r="O20" s="18">
        <f t="shared" si="5"/>
        <v>-0.8439007951753188</v>
      </c>
      <c r="P20" s="18">
        <f t="shared" si="5"/>
        <v>-1.4556935895340801</v>
      </c>
      <c r="Q20" s="18">
        <f t="shared" si="5"/>
        <v>-1.4148710058537173</v>
      </c>
      <c r="R20" s="18">
        <f t="shared" si="5"/>
        <v>-1.391986273727247</v>
      </c>
      <c r="S20" s="18">
        <f t="shared" si="5"/>
        <v>-1.360427078278346</v>
      </c>
      <c r="T20" s="18">
        <f t="shared" si="5"/>
        <v>-1.3984678956308045</v>
      </c>
      <c r="U20" s="18">
        <f>T20</f>
        <v>-1.3984678956308045</v>
      </c>
    </row>
    <row r="21" spans="1:21" ht="12.75">
      <c r="A21">
        <f t="shared" si="2"/>
        <v>9</v>
      </c>
      <c r="B21" s="9" t="s">
        <v>109</v>
      </c>
      <c r="C21" s="18"/>
      <c r="D21" s="18">
        <f>Input_external!H9/Table!D$37*100</f>
        <v>1.7089290483771113</v>
      </c>
      <c r="E21" s="18">
        <f>Input_external!I9/Table!E$37*100</f>
        <v>0.913597852369438</v>
      </c>
      <c r="F21" s="18">
        <f>Input_external!J9/Table!F$37*100</f>
        <v>0.726476529600182</v>
      </c>
      <c r="G21" s="18">
        <f>Input_external!K9/Table!G$37*100</f>
        <v>1.0269301236624533</v>
      </c>
      <c r="H21" s="18">
        <f>Input_external!L9/Table!H$37*100</f>
        <v>1.5005756089164308</v>
      </c>
      <c r="I21" s="18">
        <f>Input_external!M9/Table!I$37*100</f>
        <v>1.0200789581139456</v>
      </c>
      <c r="J21" s="18">
        <f>Input_external!N9/Table!J$37*100</f>
        <v>1.4500564382631769</v>
      </c>
      <c r="K21" s="18">
        <f>Input_external!O9/Table!K$37*100</f>
        <v>1.8410647364717936</v>
      </c>
      <c r="L21" s="18">
        <f>Input_external!P9/Table!L$37*100</f>
        <v>1.1817437382774247</v>
      </c>
      <c r="M21" s="18">
        <f>Input_external!Q9/Table!M$37*100</f>
        <v>0.8809882228706428</v>
      </c>
      <c r="N21" s="18"/>
      <c r="O21" s="18">
        <f>Input_external!R9/Table!S$37*100</f>
        <v>0.8439007951753188</v>
      </c>
      <c r="P21" s="18">
        <f>Table!T21*Table!T$37/P$37</f>
        <v>1.4556935895340801</v>
      </c>
      <c r="Q21" s="18">
        <f>Table!U21*Table!U$37/Q$37</f>
        <v>1.4148710058537173</v>
      </c>
      <c r="R21" s="18">
        <f>Table!V21*Table!V$37/R$37</f>
        <v>1.391986273727247</v>
      </c>
      <c r="S21" s="18">
        <f>Table!W21*Table!W$37/S$37</f>
        <v>1.360427078278346</v>
      </c>
      <c r="T21" s="18">
        <f>Table!X21*Table!X$37/T$37</f>
        <v>1.3984678956308045</v>
      </c>
      <c r="U21" s="18"/>
    </row>
    <row r="22" spans="1:21" ht="12.75">
      <c r="A22">
        <f t="shared" si="2"/>
        <v>10</v>
      </c>
      <c r="B22" s="8" t="s">
        <v>110</v>
      </c>
      <c r="C22" s="18"/>
      <c r="D22" s="18">
        <f>Input_external!H10/Table!D$37*100</f>
        <v>0</v>
      </c>
      <c r="E22" s="18">
        <f>Input_external!I10/Table!E$37*100</f>
        <v>0</v>
      </c>
      <c r="F22" s="18">
        <f>Input_external!J10/Table!F$37*100</f>
        <v>0</v>
      </c>
      <c r="G22" s="18">
        <f>Input_external!K10/Table!G$37*100</f>
        <v>0</v>
      </c>
      <c r="H22" s="18">
        <f>Input_external!L10/Table!H$37*100</f>
        <v>0</v>
      </c>
      <c r="I22" s="18">
        <f>Input_external!M10/Table!I$37*100</f>
        <v>0</v>
      </c>
      <c r="J22" s="18">
        <f>Input_external!N10/Table!J$37*100</f>
        <v>0</v>
      </c>
      <c r="K22" s="18">
        <f>Input_external!O10/Table!K$37*100</f>
        <v>0</v>
      </c>
      <c r="L22" s="18">
        <f>Input_external!P10/Table!L$37*100</f>
        <v>0</v>
      </c>
      <c r="M22" s="18">
        <f>Input_external!Q10/Table!M$37*100</f>
        <v>0</v>
      </c>
      <c r="N22" s="18"/>
      <c r="O22" s="18">
        <f>Input_external!R10/Table!S$37*100</f>
        <v>0</v>
      </c>
      <c r="P22" s="18">
        <f>Table!T22*Table!T$37/P$37</f>
        <v>0</v>
      </c>
      <c r="Q22" s="18">
        <f>Table!U22*Table!U$37/Q$37</f>
        <v>0</v>
      </c>
      <c r="R22" s="18">
        <f>Table!V22*Table!V$37/R$37</f>
        <v>0</v>
      </c>
      <c r="S22" s="18">
        <f>Table!W22*Table!W$37/S$37</f>
        <v>0</v>
      </c>
      <c r="T22" s="18">
        <f>Table!X22*Table!X$37/T$37</f>
        <v>0</v>
      </c>
      <c r="U22" s="18"/>
    </row>
    <row r="23" spans="1:21" ht="12.75">
      <c r="A23">
        <f t="shared" si="2"/>
        <v>11</v>
      </c>
      <c r="B23" s="12" t="s">
        <v>30</v>
      </c>
      <c r="C23" s="18"/>
      <c r="D23" s="42">
        <f>D25+D26+D27</f>
        <v>2.7025039826432256</v>
      </c>
      <c r="E23" s="42">
        <f>E25+E26+E27</f>
        <v>-3.461302319905054</v>
      </c>
      <c r="F23" s="42">
        <f>F25+F26+F27</f>
        <v>-4.716410756223144</v>
      </c>
      <c r="G23" s="42">
        <f>G25+G26+G27</f>
        <v>-2.8490828498856278</v>
      </c>
      <c r="H23" s="42">
        <f aca="true" t="shared" si="6" ref="H23:U23">H25+H26+H27</f>
        <v>-0.15613314354244845</v>
      </c>
      <c r="I23" s="42">
        <f t="shared" si="6"/>
        <v>-0.4349350089608929</v>
      </c>
      <c r="J23" s="42">
        <f t="shared" si="6"/>
        <v>-0.8294829148231108</v>
      </c>
      <c r="K23" s="42">
        <f t="shared" si="6"/>
        <v>0.9668251315967523</v>
      </c>
      <c r="L23" s="42">
        <f t="shared" si="6"/>
        <v>-0.5165411984663174</v>
      </c>
      <c r="M23" s="42">
        <f t="shared" si="6"/>
        <v>-0.48065059750035705</v>
      </c>
      <c r="O23" s="42">
        <f t="shared" si="6"/>
        <v>0.003450561946657514</v>
      </c>
      <c r="P23" s="42">
        <f t="shared" si="6"/>
        <v>0.8446144439299057</v>
      </c>
      <c r="Q23" s="42">
        <f t="shared" si="6"/>
        <v>-0.08394086466956807</v>
      </c>
      <c r="R23" s="42">
        <f t="shared" si="6"/>
        <v>-0.037561168468930886</v>
      </c>
      <c r="S23" s="42">
        <f t="shared" si="6"/>
        <v>-0.054486124487613335</v>
      </c>
      <c r="T23" s="42">
        <f t="shared" si="6"/>
        <v>-0.06217330621382512</v>
      </c>
      <c r="U23" s="42">
        <f t="shared" si="6"/>
        <v>-0.0581231193480493</v>
      </c>
    </row>
    <row r="24" spans="1:21" ht="12.75" hidden="1">
      <c r="A24">
        <f t="shared" si="2"/>
        <v>12</v>
      </c>
      <c r="B24" s="13" t="s">
        <v>31</v>
      </c>
      <c r="C24" s="42"/>
      <c r="D24" s="42">
        <f aca="true" t="shared" si="7" ref="D24:U24">1+D38/100+D41/100+D38/100*D41/100</f>
        <v>1.0368283320039988</v>
      </c>
      <c r="E24" s="42">
        <f t="shared" si="7"/>
        <v>1.195608288821117</v>
      </c>
      <c r="F24" s="42">
        <f t="shared" si="7"/>
        <v>1.2575738033439823</v>
      </c>
      <c r="G24" s="42">
        <f t="shared" si="7"/>
        <v>1.2094693589463261</v>
      </c>
      <c r="H24" s="42">
        <f t="shared" si="7"/>
        <v>1.1362916443192785</v>
      </c>
      <c r="I24" s="42">
        <f t="shared" si="7"/>
        <v>1.145069885312269</v>
      </c>
      <c r="J24" s="42">
        <f t="shared" si="7"/>
        <v>1.278579282867286</v>
      </c>
      <c r="K24" s="42">
        <f t="shared" si="7"/>
        <v>0.8034340173500737</v>
      </c>
      <c r="L24" s="42">
        <f t="shared" si="7"/>
        <v>1.165374830908146</v>
      </c>
      <c r="M24" s="42">
        <f t="shared" si="7"/>
        <v>1.1827651780047568</v>
      </c>
      <c r="O24" s="42">
        <f t="shared" si="7"/>
        <v>1.021463589319304</v>
      </c>
      <c r="P24" s="42">
        <f t="shared" si="7"/>
        <v>0.718603885965268</v>
      </c>
      <c r="Q24" s="42">
        <f t="shared" si="7"/>
        <v>1.0484380230110855</v>
      </c>
      <c r="R24" s="42">
        <f t="shared" si="7"/>
        <v>1.0377509229309763</v>
      </c>
      <c r="S24" s="42">
        <f t="shared" si="7"/>
        <v>1.0446299709815485</v>
      </c>
      <c r="T24" s="42">
        <f t="shared" si="7"/>
        <v>1.0484064350459024</v>
      </c>
      <c r="U24" s="42">
        <f t="shared" si="7"/>
        <v>1.0484064350459024</v>
      </c>
    </row>
    <row r="25" spans="1:21" ht="12.75">
      <c r="A25">
        <v>12</v>
      </c>
      <c r="B25" s="8" t="s">
        <v>48</v>
      </c>
      <c r="C25" s="18"/>
      <c r="D25" s="18">
        <f aca="true" t="shared" si="8" ref="D25:T25">D42/100/D24*C12</f>
        <v>4.175424582117273</v>
      </c>
      <c r="E25" s="18">
        <f t="shared" si="8"/>
        <v>3.064973440207147</v>
      </c>
      <c r="F25" s="18">
        <f t="shared" si="8"/>
        <v>2.331755312748972</v>
      </c>
      <c r="G25" s="18">
        <f t="shared" si="8"/>
        <v>1.5791472656318855</v>
      </c>
      <c r="H25" s="18">
        <f t="shared" si="8"/>
        <v>1.841615520033802</v>
      </c>
      <c r="I25" s="18">
        <f t="shared" si="8"/>
        <v>0.17125413165416603</v>
      </c>
      <c r="J25" s="18">
        <f t="shared" si="8"/>
        <v>0.11064687681526249</v>
      </c>
      <c r="K25" s="18">
        <f t="shared" si="8"/>
        <v>0.12322086818905707</v>
      </c>
      <c r="L25" s="18">
        <f t="shared" si="8"/>
        <v>0.0684167427423772</v>
      </c>
      <c r="M25" s="18">
        <f t="shared" si="8"/>
        <v>0.06531171515774152</v>
      </c>
      <c r="N25" s="18"/>
      <c r="O25" s="18">
        <f>O42/100/O24*M12</f>
        <v>0.06436877297315226</v>
      </c>
      <c r="P25" s="18">
        <f t="shared" si="8"/>
        <v>0.08755600105678693</v>
      </c>
      <c r="Q25" s="18">
        <f t="shared" si="8"/>
        <v>0.07806990140186434</v>
      </c>
      <c r="R25" s="18">
        <f t="shared" si="8"/>
        <v>0.08675655479345826</v>
      </c>
      <c r="S25" s="18">
        <f t="shared" si="8"/>
        <v>0.08175723451642182</v>
      </c>
      <c r="T25" s="18">
        <f t="shared" si="8"/>
        <v>0.07684909846775012</v>
      </c>
      <c r="U25" s="18">
        <f>U42/100/U24*T12</f>
        <v>0.07184287910746166</v>
      </c>
    </row>
    <row r="26" spans="1:21" ht="12.75">
      <c r="A26">
        <f t="shared" si="2"/>
        <v>13</v>
      </c>
      <c r="B26" s="9" t="s">
        <v>32</v>
      </c>
      <c r="C26" s="18"/>
      <c r="D26" s="18">
        <f>-D38/100/D24*C12</f>
        <v>-1.8797285787410425</v>
      </c>
      <c r="E26" s="18">
        <f>-E38/100/E24*D12</f>
        <v>-2.3021162863888183</v>
      </c>
      <c r="F26" s="18">
        <f>-F38/100/F24*E12</f>
        <v>-1.422911145575965</v>
      </c>
      <c r="G26" s="18">
        <f>-G38/100/G24*F12</f>
        <v>-1.0781516543871474</v>
      </c>
      <c r="H26" s="18">
        <f aca="true" t="shared" si="9" ref="H26:U26">-H38/100/H24*G12</f>
        <v>-0.2931579075965019</v>
      </c>
      <c r="I26" s="18">
        <f t="shared" si="9"/>
        <v>-0.1253580243708515</v>
      </c>
      <c r="J26" s="18">
        <f t="shared" si="9"/>
        <v>-0.08099351382877072</v>
      </c>
      <c r="K26" s="18">
        <f t="shared" si="9"/>
        <v>-0.10467273085252374</v>
      </c>
      <c r="L26" s="18">
        <f t="shared" si="9"/>
        <v>-0.11625768034378085</v>
      </c>
      <c r="M26" s="18">
        <f t="shared" si="9"/>
        <v>-0.07379635513469245</v>
      </c>
      <c r="N26" s="18"/>
      <c r="O26" s="18">
        <f>-O38/100/O24*M12</f>
        <v>-0.08016254407766935</v>
      </c>
      <c r="P26" s="18">
        <f t="shared" si="9"/>
        <v>-0.12481934065094297</v>
      </c>
      <c r="Q26" s="18">
        <f t="shared" si="9"/>
        <v>-0.10903357378849998</v>
      </c>
      <c r="R26" s="18">
        <f t="shared" si="9"/>
        <v>-0.1063584185362334</v>
      </c>
      <c r="S26" s="18">
        <f t="shared" si="9"/>
        <v>-0.1195612176862982</v>
      </c>
      <c r="T26" s="18">
        <f t="shared" si="9"/>
        <v>-0.11469620296428422</v>
      </c>
      <c r="U26" s="18">
        <f t="shared" si="9"/>
        <v>-0.107224490695957</v>
      </c>
    </row>
    <row r="27" spans="1:21" ht="12.75">
      <c r="A27">
        <f>A26+1</f>
        <v>14</v>
      </c>
      <c r="B27" s="9" t="s">
        <v>54</v>
      </c>
      <c r="C27" s="18"/>
      <c r="D27" s="18">
        <f>(-D41/100*(1+D38/100)+Input_external!H36/100*D39/100*(1+D42/100))/D24*C12</f>
        <v>0.4068079792669953</v>
      </c>
      <c r="E27" s="18">
        <f>(-E41/100*(1+E38/100)+Input_external!I36/100*E39/100*(1+E42/100))/E24*D12</f>
        <v>-4.2241594737233825</v>
      </c>
      <c r="F27" s="18">
        <f>(-F41/100*(1+F38/100)+Input_external!J36/100*F39/100*(1+F42/100))/F24*E12</f>
        <v>-5.6252549233961515</v>
      </c>
      <c r="G27" s="18">
        <f>(-G41/100*(1+G38/100)+Input_external!K36/100*G39/100*(1+G42/100))/G24*F12</f>
        <v>-3.350078461130366</v>
      </c>
      <c r="H27" s="18">
        <f>(-H41/100*(1+H38/100)+Input_external!L36/100*H39/100*(1+H42/100))/H24*G12</f>
        <v>-1.7045907559797486</v>
      </c>
      <c r="I27" s="18">
        <f>(-I41/100*(1+I38/100)+Input_external!M36/100*I39/100*(1+I42/100))/I24*H12</f>
        <v>-0.4808311162442074</v>
      </c>
      <c r="J27" s="18">
        <f>(-J41/100*(1+J38/100)+Input_external!N36/100*J39/100*(1+J42/100))/J24*I12</f>
        <v>-0.8591362778096026</v>
      </c>
      <c r="K27" s="18">
        <f>(-K41/100*(1+K38/100)+Input_external!O36/100*K39/100*(1+K42/100))/K24*J12</f>
        <v>0.9482769942602189</v>
      </c>
      <c r="L27" s="18">
        <f>(-L41/100*(1+L38/100)+Input_external!P36/100*L39/100*(1+L42/100))/L24*K12</f>
        <v>-0.4687002608649138</v>
      </c>
      <c r="M27" s="18">
        <f>(-M41/100*(1+M38/100)+Input_external!Q36/100*M39/100*(1+M42/100))/M24*L12</f>
        <v>-0.4721659575234061</v>
      </c>
      <c r="N27" s="18"/>
      <c r="O27" s="18">
        <f>(-O41/100*(1+O38/100)+Input_external!R36/100*O39/100*(1+O42/100))/O24*M12</f>
        <v>0.0192443330511746</v>
      </c>
      <c r="P27" s="18">
        <f>(-P41/100*(1+P38/100)+Input_external!S36/100*P39/100*(1+P42/100))/P24*O12</f>
        <v>0.8818777835240618</v>
      </c>
      <c r="Q27" s="18">
        <f>(-Q41/100*(1+Q38/100)+Input_external!T36/100*Q39/100*(1+Q42/100))/Q24*P12</f>
        <v>-0.05297719228293243</v>
      </c>
      <c r="R27" s="18">
        <f>(-R41/100*(1+R38/100)+Input_external!U36/100*R39/100*(1+R42/100))/R24*Q12</f>
        <v>-0.017959304726155745</v>
      </c>
      <c r="S27" s="18">
        <f>(-S41/100*(1+S38/100)+Input_external!V36/100*S39/100*(1+S42/100))/S24*R12</f>
        <v>-0.01668214131773696</v>
      </c>
      <c r="T27" s="18">
        <f>(-T41/100*(1+T38/100)+Input_external!W36/100*T39/100*(1+T42/100))/T24*S12</f>
        <v>-0.024326201717291024</v>
      </c>
      <c r="U27" s="18">
        <f>(-U41/100*(1+U38/100)+Input_external!W36/100*U39/100*(1+U42/100))/U24*T12</f>
        <v>-0.022741507759553952</v>
      </c>
    </row>
    <row r="28" spans="1:21" ht="12.75">
      <c r="A28">
        <f>A26+1</f>
        <v>14</v>
      </c>
      <c r="B28" s="11" t="s">
        <v>111</v>
      </c>
      <c r="C28" s="18"/>
      <c r="D28" s="18">
        <f>D14-D15</f>
        <v>9.284875787211469</v>
      </c>
      <c r="E28" s="18">
        <f>E14-E15</f>
        <v>14.94041933057899</v>
      </c>
      <c r="F28" s="18">
        <f>F14-F15</f>
        <v>11.956488989047685</v>
      </c>
      <c r="G28" s="18">
        <f aca="true" t="shared" si="10" ref="G28:M28">G14-G15</f>
        <v>17.064478488858914</v>
      </c>
      <c r="H28" s="18">
        <f t="shared" si="10"/>
        <v>16.310233749188242</v>
      </c>
      <c r="I28" s="18">
        <f t="shared" si="10"/>
        <v>23.94058302207131</v>
      </c>
      <c r="J28" s="18">
        <f t="shared" si="10"/>
        <v>21.586736873311203</v>
      </c>
      <c r="K28" s="18">
        <f t="shared" si="10"/>
        <v>1.9690825205765923</v>
      </c>
      <c r="L28" s="18">
        <f t="shared" si="10"/>
        <v>8.722678062036529</v>
      </c>
      <c r="M28" s="18">
        <f t="shared" si="10"/>
        <v>10.901774563416097</v>
      </c>
      <c r="N28" s="18"/>
      <c r="O28" s="49">
        <f>Table!S28</f>
        <v>6.308554552683894</v>
      </c>
      <c r="P28" s="18">
        <f>Table!T28*Table!T$37/P$37</f>
        <v>6.976892042120731</v>
      </c>
      <c r="Q28" s="18">
        <f>Table!U28*Table!U$37/Q$37</f>
        <v>7.616882425926001</v>
      </c>
      <c r="R28" s="18">
        <f>Table!V28*Table!V$37/R$37</f>
        <v>7.483237131761424</v>
      </c>
      <c r="S28" s="18">
        <f>Table!W28*Table!W$37/S$37</f>
        <v>7.670993457339437</v>
      </c>
      <c r="T28" s="18">
        <f>Table!X28*Table!X$37/T$37</f>
        <v>8.873613112304124</v>
      </c>
      <c r="U28" s="18">
        <v>0</v>
      </c>
    </row>
    <row r="29" spans="2:21" ht="12.75">
      <c r="B29" s="7"/>
      <c r="C29" s="7"/>
      <c r="D29" s="31"/>
      <c r="E29" s="31"/>
      <c r="F29" s="31"/>
      <c r="G29" s="31"/>
      <c r="H29" s="31"/>
      <c r="I29" s="31"/>
      <c r="U29" s="42"/>
    </row>
    <row r="30" spans="2:21" ht="12.75">
      <c r="B30" t="s">
        <v>28</v>
      </c>
      <c r="C30" s="19">
        <f aca="true" t="shared" si="11" ref="C30:T30">C12/C18*100</f>
        <v>113.49478546930776</v>
      </c>
      <c r="D30" s="19">
        <f t="shared" si="11"/>
        <v>113.15817355651112</v>
      </c>
      <c r="E30" s="19">
        <f t="shared" si="11"/>
        <v>89.7160968113715</v>
      </c>
      <c r="F30" s="19">
        <f t="shared" si="11"/>
        <v>64.04721454639892</v>
      </c>
      <c r="G30" s="19">
        <f t="shared" si="11"/>
        <v>35.2006552006552</v>
      </c>
      <c r="H30" s="19">
        <f t="shared" si="11"/>
        <v>9.790648988136777</v>
      </c>
      <c r="I30" s="19">
        <f t="shared" si="11"/>
        <v>9.128859483301827</v>
      </c>
      <c r="J30" s="19">
        <f t="shared" si="11"/>
        <v>7.213501052207485</v>
      </c>
      <c r="K30" s="19">
        <f t="shared" si="11"/>
        <v>11.806021549913401</v>
      </c>
      <c r="L30" s="19">
        <f t="shared" si="11"/>
        <v>9.361565380423272</v>
      </c>
      <c r="M30" s="19">
        <f t="shared" si="11"/>
        <v>6.623719980204909</v>
      </c>
      <c r="N30" s="19"/>
      <c r="O30" s="19">
        <f t="shared" si="11"/>
        <v>7.102458151117677</v>
      </c>
      <c r="P30" s="19">
        <f t="shared" si="11"/>
        <v>6.682530063477572</v>
      </c>
      <c r="Q30" s="19">
        <f t="shared" si="11"/>
        <v>6.632357534969592</v>
      </c>
      <c r="R30" s="19">
        <f t="shared" si="11"/>
        <v>6.6542026070645095</v>
      </c>
      <c r="S30" s="19">
        <f t="shared" si="11"/>
        <v>6.614406795525886</v>
      </c>
      <c r="T30" s="19">
        <f t="shared" si="11"/>
        <v>6.434073177364855</v>
      </c>
      <c r="U30" s="19"/>
    </row>
    <row r="31" spans="2:21" ht="12.75">
      <c r="B31" s="7"/>
      <c r="C31" s="7"/>
      <c r="D31" s="31"/>
      <c r="E31" s="31"/>
      <c r="F31" s="31"/>
      <c r="G31" s="31"/>
      <c r="H31" s="31"/>
      <c r="I31" s="31"/>
      <c r="U31" s="42"/>
    </row>
    <row r="32" spans="2:21" ht="12.75">
      <c r="B32" s="48" t="s">
        <v>76</v>
      </c>
      <c r="C32" s="7"/>
      <c r="D32" s="19">
        <f>Input_external!H27</f>
        <v>-0.8771599999999999</v>
      </c>
      <c r="E32" s="19">
        <f>Input_external!I27</f>
        <v>-4.751099999999999</v>
      </c>
      <c r="F32" s="19">
        <f>Input_external!J27</f>
        <v>-6.174078</v>
      </c>
      <c r="G32" s="19">
        <f>Input_external!K27</f>
        <v>-15.4545</v>
      </c>
      <c r="H32" s="19">
        <f>Input_external!L27</f>
        <v>-14.290199999999999</v>
      </c>
      <c r="I32" s="19">
        <f>Input_external!M27</f>
        <v>-29.25</v>
      </c>
      <c r="J32" s="19">
        <f>Input_external!N27</f>
        <v>-32.552195</v>
      </c>
      <c r="K32" s="19">
        <f>Input_external!O27</f>
        <v>0.9994119999999901</v>
      </c>
      <c r="L32" s="19">
        <f>Input_external!P27</f>
        <v>-9.66064582097</v>
      </c>
      <c r="M32" s="19">
        <f>Input_external!Q27</f>
        <v>-17.14824545487104</v>
      </c>
      <c r="N32" s="19"/>
      <c r="O32" s="35">
        <f aca="true" t="shared" si="12" ref="O32:T32">O71</f>
        <v>-9.961855854721192</v>
      </c>
      <c r="P32" s="35">
        <f t="shared" si="12"/>
        <v>-7.065171374723597</v>
      </c>
      <c r="Q32" s="35">
        <f t="shared" si="12"/>
        <v>-8.506145839215215</v>
      </c>
      <c r="R32" s="35">
        <f t="shared" si="12"/>
        <v>-8.692142674249299</v>
      </c>
      <c r="S32" s="35">
        <f t="shared" si="12"/>
        <v>-9.468564707877869</v>
      </c>
      <c r="T32" s="35">
        <f t="shared" si="12"/>
        <v>-11.918825413125274</v>
      </c>
      <c r="U32" s="52"/>
    </row>
    <row r="33" spans="2:21" ht="12.75">
      <c r="B33" s="12" t="s">
        <v>38</v>
      </c>
      <c r="C33" s="7"/>
      <c r="D33" s="19">
        <f aca="true" t="shared" si="13" ref="D33:T33">D32/D37*100</f>
        <v>-1.5453651588396569</v>
      </c>
      <c r="E33" s="19">
        <f t="shared" si="13"/>
        <v>-7.00095928450393</v>
      </c>
      <c r="F33" s="19">
        <f t="shared" si="13"/>
        <v>-7.2343915466465045</v>
      </c>
      <c r="G33" s="19">
        <f t="shared" si="13"/>
        <v>-14.97235056239753</v>
      </c>
      <c r="H33" s="19">
        <f t="shared" si="13"/>
        <v>-12.183821344623622</v>
      </c>
      <c r="I33" s="19">
        <f t="shared" si="13"/>
        <v>-21.77905804732329</v>
      </c>
      <c r="J33" s="19">
        <f t="shared" si="13"/>
        <v>-18.956835317007386</v>
      </c>
      <c r="K33" s="19">
        <f t="shared" si="13"/>
        <v>0.7244024371680038</v>
      </c>
      <c r="L33" s="19">
        <f t="shared" si="13"/>
        <v>-6.00863563507751</v>
      </c>
      <c r="M33" s="19">
        <f t="shared" si="13"/>
        <v>-9.017597987456698</v>
      </c>
      <c r="N33" s="19"/>
      <c r="O33" s="19">
        <f t="shared" si="13"/>
        <v>-5.128478529678023</v>
      </c>
      <c r="P33" s="19">
        <f t="shared" si="13"/>
        <v>-5.061525482313675</v>
      </c>
      <c r="Q33" s="19">
        <f t="shared" si="13"/>
        <v>-5.812310257728965</v>
      </c>
      <c r="R33" s="19">
        <f t="shared" si="13"/>
        <v>-5.723341789880193</v>
      </c>
      <c r="S33" s="19">
        <f t="shared" si="13"/>
        <v>-5.968215627496738</v>
      </c>
      <c r="T33" s="19">
        <f t="shared" si="13"/>
        <v>-7.165790952653217</v>
      </c>
      <c r="U33" s="19"/>
    </row>
    <row r="34" spans="2:21" ht="12.75">
      <c r="B34" s="7"/>
      <c r="C34" s="7"/>
      <c r="D34" s="31"/>
      <c r="E34" s="31"/>
      <c r="F34" s="31"/>
      <c r="G34" s="31"/>
      <c r="H34" s="31"/>
      <c r="I34" s="31"/>
      <c r="U34" s="22" t="s">
        <v>131</v>
      </c>
    </row>
    <row r="35" spans="2:21" ht="12.75">
      <c r="B35" s="48" t="s">
        <v>46</v>
      </c>
      <c r="C35" s="14"/>
      <c r="D35" s="39"/>
      <c r="E35" s="39"/>
      <c r="F35" s="39"/>
      <c r="G35" s="39"/>
      <c r="H35" s="39"/>
      <c r="I35" s="39"/>
      <c r="J35" s="39"/>
      <c r="U35" s="30" t="s">
        <v>132</v>
      </c>
    </row>
    <row r="36" spans="2:21" ht="12.75">
      <c r="B36" s="5"/>
      <c r="C36" s="5"/>
      <c r="D36" s="32"/>
      <c r="E36" s="32"/>
      <c r="F36" s="32"/>
      <c r="G36" s="32"/>
      <c r="H36" s="32"/>
      <c r="I36" s="32"/>
      <c r="J36" s="28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2:21" ht="12.75">
      <c r="B37" s="5" t="s">
        <v>75</v>
      </c>
      <c r="C37" s="18">
        <f>IF(ISNUMBER(Input_external!G$11),Input_external!G$11,".")</f>
        <v>54.74454445379784</v>
      </c>
      <c r="D37" s="18">
        <f>IF(ISNUMBER(Input_external!H$11),Input_external!H$11,".")</f>
        <v>56.76069471234998</v>
      </c>
      <c r="E37" s="18">
        <f>IF(ISNUMBER(Input_external!I$11),Input_external!I$11,".")</f>
        <v>67.86355707733058</v>
      </c>
      <c r="F37" s="18">
        <f>IF(ISNUMBER(Input_external!J$11),Input_external!J$11,".")</f>
        <v>85.34343158219005</v>
      </c>
      <c r="G37" s="18">
        <f>IF(ISNUMBER(Input_external!K$11),Input_external!K$11,".")</f>
        <v>103.22026548599102</v>
      </c>
      <c r="H37" s="18">
        <f>IF(ISNUMBER(Input_external!L$11),Input_external!L$11,".")</f>
        <v>117.28832519614924</v>
      </c>
      <c r="I37" s="18">
        <f>IF(ISNUMBER(Input_external!M$11),Input_external!M$11,".")</f>
        <v>134.30332908082272</v>
      </c>
      <c r="J37" s="18">
        <f>IF(ISNUMBER(Input_external!N$11),Input_external!N$11,".")</f>
        <v>171.71745418284743</v>
      </c>
      <c r="K37" s="42">
        <f>IF(ISNUMBER(Input_external!O$11),Input_external!O$11,".")</f>
        <v>137.96364406325236</v>
      </c>
      <c r="L37" s="42">
        <f>IF(ISNUMBER(Input_external!P$11),Input_external!P$11,".")</f>
        <v>160.77935837168434</v>
      </c>
      <c r="M37" s="42">
        <f>IF(ISNUMBER(Input_external!Q$11),Input_external!Q$11,".")</f>
        <v>190.16422642397583</v>
      </c>
      <c r="O37" s="42">
        <f>M37*(1+O38/100)*(1+O41/100)</f>
        <v>194.24583328316322</v>
      </c>
      <c r="P37" s="42">
        <f aca="true" t="shared" si="14" ref="P37:U37">O37*(1+P38/100)*(1+P41/100)</f>
        <v>139.58581062984268</v>
      </c>
      <c r="Q37" s="42">
        <f t="shared" si="14"/>
        <v>146.34707133715204</v>
      </c>
      <c r="R37" s="42">
        <f t="shared" si="14"/>
        <v>151.87180834837494</v>
      </c>
      <c r="S37" s="42">
        <f t="shared" si="14"/>
        <v>158.64984274787824</v>
      </c>
      <c r="T37" s="42">
        <f t="shared" si="14"/>
        <v>166.329516055896</v>
      </c>
      <c r="U37" s="42">
        <f t="shared" si="14"/>
        <v>174.38093497107207</v>
      </c>
    </row>
    <row r="38" spans="2:21" ht="12.75">
      <c r="B38" s="5" t="s">
        <v>44</v>
      </c>
      <c r="C38" s="5"/>
      <c r="D38" s="18">
        <f>(Input_external!H13/Input_external!G13-1)*100</f>
        <v>4.699999999999993</v>
      </c>
      <c r="E38" s="18">
        <f>(Input_external!I13/Input_external!H13-1)*100</f>
        <v>6.899999999999995</v>
      </c>
      <c r="F38" s="18">
        <f>(Input_external!J13/Input_external!I13-1)*100</f>
        <v>5.199999999999916</v>
      </c>
      <c r="G38" s="18">
        <f>(Input_external!K13/Input_external!J13-1)*100</f>
        <v>5.100000000000082</v>
      </c>
      <c r="H38" s="18">
        <f>(Input_external!L13/Input_external!K13-1)*100</f>
        <v>2.0000000000000684</v>
      </c>
      <c r="I38" s="18">
        <f>(Input_external!M13/Input_external!L13-1)*100</f>
        <v>3.000000000000047</v>
      </c>
      <c r="J38" s="18">
        <f>(Input_external!N13/Input_external!M13-1)*100</f>
        <v>2.3999999999999577</v>
      </c>
      <c r="K38" s="42">
        <f>(Input_external!O13/Input_external!N13-1)*100</f>
        <v>2.4389514241625054</v>
      </c>
      <c r="L38" s="42">
        <f>(Input_external!P13/Input_external!O13-1)*100</f>
        <v>3.286748135925688</v>
      </c>
      <c r="M38" s="42">
        <f>(Input_external!Q13/Input_external!P13-1)*100</f>
        <v>2.4703910269243456</v>
      </c>
      <c r="O38" s="42">
        <f>(Input_external!R13/Input_external!Q13-1)*100</f>
        <v>3.060629831131245</v>
      </c>
      <c r="P38" s="42">
        <f>(Input_external!S13/Input_external!R13-1)*100</f>
        <v>3.567012161902805</v>
      </c>
      <c r="Q38" s="42">
        <f>(Input_external!T13/Input_external!S13-1)*100</f>
        <v>3.5096586367163063</v>
      </c>
      <c r="R38" s="42">
        <f>(Input_external!U13/Input_external!T13-1)*100</f>
        <v>3.5550460844580023</v>
      </c>
      <c r="S38" s="42">
        <f>(Input_external!V13/Input_external!U13-1)*100</f>
        <v>4.2611033627514505</v>
      </c>
      <c r="T38" s="42">
        <f>(Input_external!W13/Input_external!V13-1)*100</f>
        <v>4.330586796355673</v>
      </c>
      <c r="U38" s="42">
        <f>T38</f>
        <v>4.330586796355673</v>
      </c>
    </row>
    <row r="39" spans="2:21" ht="12.75">
      <c r="B39" s="11" t="s">
        <v>53</v>
      </c>
      <c r="C39" s="11"/>
      <c r="D39" s="18">
        <f>Input_external!H33</f>
        <v>-3.0959352123882455</v>
      </c>
      <c r="E39" s="18">
        <f>Input_external!I33</f>
        <v>2.954842044059691</v>
      </c>
      <c r="F39" s="18">
        <f>Input_external!J33</f>
        <v>7.3956536641074155</v>
      </c>
      <c r="G39" s="18">
        <f>Input_external!K33</f>
        <v>-1.652660131054151</v>
      </c>
      <c r="H39" s="18">
        <f>Input_external!L33</f>
        <v>0.8667873268701332</v>
      </c>
      <c r="I39" s="18">
        <f>Input_external!M33</f>
        <v>4.840670357307153</v>
      </c>
      <c r="J39" s="18">
        <f>Input_external!N33</f>
        <v>7.292344091615721</v>
      </c>
      <c r="K39" s="18">
        <f>Input_external!O33</f>
        <v>-11.203078746447526</v>
      </c>
      <c r="L39" s="18">
        <f>Input_external!P33</f>
        <v>-2.9526164307339897</v>
      </c>
      <c r="M39" s="18">
        <f>Input_external!Q33</f>
        <v>3.084047038887072</v>
      </c>
      <c r="N39" s="18"/>
      <c r="O39" s="18">
        <f>Input_external!R33</f>
        <v>-2.3437633368933453</v>
      </c>
      <c r="P39" s="50">
        <f>-30-P40</f>
        <v>-31.925120860172203</v>
      </c>
      <c r="Q39" s="18">
        <f>Input_external!T33</f>
        <v>-1.7548474059878805</v>
      </c>
      <c r="R39" s="18">
        <f>Input_external!U33</f>
        <v>-1.716177295824528</v>
      </c>
      <c r="S39" s="18">
        <f>Input_external!V33</f>
        <v>-1.6847996711095492</v>
      </c>
      <c r="T39" s="18">
        <f>Input_external!W33</f>
        <v>-1.6715830875122517</v>
      </c>
      <c r="U39" s="42">
        <f>T39</f>
        <v>-1.6715830875122517</v>
      </c>
    </row>
    <row r="40" spans="2:21" ht="12.75">
      <c r="B40" s="11" t="s">
        <v>64</v>
      </c>
      <c r="C40" s="11"/>
      <c r="D40" s="18">
        <f>Input_external!H34</f>
        <v>2.1923014274317643</v>
      </c>
      <c r="E40" s="18">
        <f>Input_external!I34</f>
        <v>8.63366592530288</v>
      </c>
      <c r="F40" s="18">
        <f>Input_external!J34</f>
        <v>11.309193604047806</v>
      </c>
      <c r="G40" s="18">
        <f>Input_external!K34</f>
        <v>17.01176675561664</v>
      </c>
      <c r="H40" s="18">
        <f>Input_external!L34</f>
        <v>10.443828491256802</v>
      </c>
      <c r="I40" s="18">
        <f>Input_external!M34</f>
        <v>6.038842699668545</v>
      </c>
      <c r="J40" s="18">
        <f>Input_external!N34</f>
        <v>16.37480674845806</v>
      </c>
      <c r="K40" s="18">
        <f>Input_external!O34</f>
        <v>-11.674280643559175</v>
      </c>
      <c r="L40" s="18">
        <f>Input_external!P34</f>
        <v>16.26184179685266</v>
      </c>
      <c r="M40" s="18">
        <f>Input_external!Q34</f>
        <v>11.97180418387267</v>
      </c>
      <c r="N40" s="18"/>
      <c r="O40" s="18">
        <f>Input_external!R34</f>
        <v>1.4916035372531944</v>
      </c>
      <c r="P40" s="18">
        <f>Input_external!S34</f>
        <v>1.9251208601722025</v>
      </c>
      <c r="Q40" s="18">
        <f>Input_external!T34</f>
        <v>3.0981221359417166</v>
      </c>
      <c r="R40" s="18">
        <f>Input_external!U34</f>
        <v>1.9623466631461417</v>
      </c>
      <c r="S40" s="18">
        <f>Input_external!V34</f>
        <v>1.9106324312814449</v>
      </c>
      <c r="T40" s="18">
        <f>Input_external!W34</f>
        <v>2.197196160975312</v>
      </c>
      <c r="U40" s="42">
        <f>T40</f>
        <v>2.197196160975312</v>
      </c>
    </row>
    <row r="41" spans="2:21" s="24" customFormat="1" ht="12.75">
      <c r="B41" s="36" t="s">
        <v>65</v>
      </c>
      <c r="C41" s="36"/>
      <c r="D41" s="37">
        <f>((1+D39/100)*(1+D40/100)-1)*100</f>
        <v>-0.9715060168100309</v>
      </c>
      <c r="E41" s="37">
        <f aca="true" t="shared" si="15" ref="E41:T41">((1+E39/100)*(1+E40/100)-1)*100</f>
        <v>11.843619160067087</v>
      </c>
      <c r="F41" s="37">
        <f t="shared" si="15"/>
        <v>19.541236059313995</v>
      </c>
      <c r="G41" s="37">
        <f t="shared" si="15"/>
        <v>15.077959937804497</v>
      </c>
      <c r="H41" s="37">
        <f t="shared" si="15"/>
        <v>11.401141599929199</v>
      </c>
      <c r="I41" s="37">
        <f t="shared" si="15"/>
        <v>11.17183352546296</v>
      </c>
      <c r="J41" s="37">
        <f t="shared" si="15"/>
        <v>24.861258092508454</v>
      </c>
      <c r="K41" s="37">
        <f t="shared" si="15"/>
        <v>-21.569480536427488</v>
      </c>
      <c r="L41" s="37">
        <f t="shared" si="15"/>
        <v>12.82907555328483</v>
      </c>
      <c r="M41" s="37">
        <f t="shared" si="15"/>
        <v>15.425067295193816</v>
      </c>
      <c r="N41" s="37"/>
      <c r="O41" s="37">
        <f t="shared" si="15"/>
        <v>-0.8871194564780915</v>
      </c>
      <c r="P41" s="37">
        <f t="shared" si="15"/>
        <v>-30.61459716131437</v>
      </c>
      <c r="Q41" s="37">
        <f t="shared" si="15"/>
        <v>1.2889074140169265</v>
      </c>
      <c r="R41" s="37">
        <f t="shared" si="15"/>
        <v>0.21249201942332707</v>
      </c>
      <c r="S41" s="37">
        <f t="shared" si="15"/>
        <v>0.19364243125354896</v>
      </c>
      <c r="T41" s="37">
        <f t="shared" si="15"/>
        <v>0.4888851140367301</v>
      </c>
      <c r="U41" s="42">
        <f>T41</f>
        <v>0.4888851140367301</v>
      </c>
    </row>
    <row r="42" spans="2:21" ht="12.75">
      <c r="B42" s="11" t="s">
        <v>45</v>
      </c>
      <c r="C42" s="11"/>
      <c r="D42" s="18">
        <f>IF(ISNUMBER(100*Input_external!H5/Input_external!G4),(100*Input_external!H5/Input_external!G4),".")</f>
        <v>10.440068719439672</v>
      </c>
      <c r="E42" s="18">
        <f>IF(ISNUMBER(100*Input_external!I5/Input_external!H4),(100*Input_external!I5/Input_external!H4),".")</f>
        <v>9.186467626534759</v>
      </c>
      <c r="F42" s="18">
        <f>IF(ISNUMBER(100*Input_external!J5/Input_external!I4),(100*Input_external!J5/Input_external!I4),".")</f>
        <v>8.52135262556149</v>
      </c>
      <c r="G42" s="18">
        <f>IF(ISNUMBER(100*Input_external!K5/Input_external!J4),(100*Input_external!K5/Input_external!J4),".")</f>
        <v>7.469868475321937</v>
      </c>
      <c r="H42" s="18">
        <f>IF(ISNUMBER(100*Input_external!L5/Input_external!K4),(100*Input_external!L5/Input_external!K4),".")</f>
        <v>12.563983248022335</v>
      </c>
      <c r="I42" s="18">
        <f>IF(ISNUMBER(100*Input_external!M5/Input_external!L4),(100*Input_external!M5/Input_external!L4),".")</f>
        <v>4.098360655737705</v>
      </c>
      <c r="J42" s="18">
        <f>IF(ISNUMBER(100*Input_external!N5/Input_external!M4),(100*Input_external!N5/Input_external!M4),".")</f>
        <v>3.278688524590164</v>
      </c>
      <c r="K42" s="42">
        <f>IF(ISNUMBER(100*Input_external!O5/Input_external!N4),(100*Input_external!O5/Input_external!N4),".")</f>
        <v>2.8711366323256207</v>
      </c>
      <c r="L42" s="42">
        <f>IF(ISNUMBER(100*Input_external!P5/Input_external!O4),(100*Input_external!P5/Input_external!O4),".")</f>
        <v>1.9342257733825916</v>
      </c>
      <c r="M42" s="42">
        <f>IF(ISNUMBER(100*Input_external!Q5/Input_external!P4),(100*Input_external!Q5/Input_external!P4),".")</f>
        <v>2.18636103076144</v>
      </c>
      <c r="O42" s="42">
        <f>IF(ISNUMBER(100*Input_external!R5/Input_external!Q4),(100*Input_external!R5/Input_external!Q4),".")</f>
        <v>2.457618941884664</v>
      </c>
      <c r="P42" s="42">
        <f>IF(ISNUMBER(100*Input_external!S5/Input_external!R4),(100*Input_external!S5/Input_external!R4),".")</f>
        <v>2.502122819976412</v>
      </c>
      <c r="Q42" s="42">
        <f>IF(ISNUMBER(100*Input_external!T5/Input_external!S4),(100*Input_external!T5/Input_external!S4),".")</f>
        <v>2.5129755377379275</v>
      </c>
      <c r="R42" s="42">
        <f>IF(ISNUMBER(100*Input_external!U5/Input_external!T4),(100*Input_external!U5/Input_external!T4),".")</f>
        <v>2.8998508502124674</v>
      </c>
      <c r="S42" s="42">
        <f>IF(ISNUMBER(100*Input_external!V5/Input_external!U4),(100*Input_external!V5/Input_external!U4),".")</f>
        <v>2.9137878792874496</v>
      </c>
      <c r="T42" s="42">
        <f>IF(ISNUMBER(100*Input_external!W5/Input_external!V4),(100*Input_external!W5/Input_external!V4),".")</f>
        <v>2.901592925791173</v>
      </c>
      <c r="U42" s="42">
        <f>T42</f>
        <v>2.901592925791173</v>
      </c>
    </row>
    <row r="43" spans="2:20" ht="12.75">
      <c r="B43" s="11" t="s">
        <v>69</v>
      </c>
      <c r="C43" s="11"/>
      <c r="D43" s="18">
        <f>(Input_external!H7/Input_external!G7-1)*100</f>
        <v>0.03679668829805749</v>
      </c>
      <c r="E43" s="18">
        <f>(Input_external!I7/Input_external!H7-1)*100</f>
        <v>30.09041858828656</v>
      </c>
      <c r="F43" s="18">
        <f>(Input_external!J7/Input_external!I7-1)*100</f>
        <v>30.88812139838646</v>
      </c>
      <c r="G43" s="18">
        <f>(Input_external!K7/Input_external!J7-1)*100</f>
        <v>43.351173568861334</v>
      </c>
      <c r="H43" s="18">
        <f>(Input_external!L7/Input_external!K7-1)*100</f>
        <v>17.362817362817353</v>
      </c>
      <c r="I43" s="18">
        <f>(Input_external!M7/Input_external!L7-1)*100</f>
        <v>10.746685275645484</v>
      </c>
      <c r="J43" s="18">
        <f>(Input_external!N7/Input_external!M7-1)*100</f>
        <v>29.304024889729053</v>
      </c>
      <c r="K43" s="42">
        <f>(Input_external!O7/Input_external!N7-1)*100</f>
        <v>-41.31420583964647</v>
      </c>
      <c r="L43" s="42">
        <f>(Input_external!P7/Input_external!O7-1)*100</f>
        <v>25.970139332677444</v>
      </c>
      <c r="M43" s="42">
        <f>(Input_external!Q7/Input_external!P7-1)*100</f>
        <v>26.57877107911211</v>
      </c>
      <c r="O43" s="42">
        <f>(Input_external!R7/Input_external!Q7-1)*100</f>
        <v>-8.314751312826118</v>
      </c>
      <c r="P43" s="42">
        <f>(Input_external!S7/Input_external!R7-1)*100</f>
        <v>-3.3885534213677904</v>
      </c>
      <c r="Q43" s="42">
        <f>(Input_external!T7/Input_external!S7-1)*100</f>
        <v>0.6925607957811497</v>
      </c>
      <c r="R43" s="42">
        <f>(Input_external!U7/Input_external!T7-1)*100</f>
        <v>-2.349152716427272</v>
      </c>
      <c r="S43" s="42">
        <f>(Input_external!V7/Input_external!U7-1)*100</f>
        <v>-0.4436811669179752</v>
      </c>
      <c r="T43" s="42">
        <f>(Input_external!W7/Input_external!V7-1)*100</f>
        <v>0.7579990791025448</v>
      </c>
    </row>
    <row r="44" spans="2:20" ht="12.75">
      <c r="B44" s="11" t="s">
        <v>70</v>
      </c>
      <c r="C44" s="11"/>
      <c r="D44" s="18">
        <f>(Input_external!H8/Input_external!G8-1)*100</f>
        <v>21.540010065425253</v>
      </c>
      <c r="E44" s="18">
        <f>(Input_external!I8/Input_external!H8-1)*100</f>
        <v>12.298136645962732</v>
      </c>
      <c r="F44" s="18">
        <f>(Input_external!J8/Input_external!I8-1)*100</f>
        <v>34.05850540806294</v>
      </c>
      <c r="G44" s="18">
        <f>(Input_external!K8/Input_external!J8-1)*100</f>
        <v>12.941230402493819</v>
      </c>
      <c r="H44" s="18">
        <f>(Input_external!L8/Input_external!K8-1)*100</f>
        <v>3.340504119819787</v>
      </c>
      <c r="I44" s="18">
        <f>(Input_external!M8/Input_external!L8-1)*100</f>
        <v>30.714846818538888</v>
      </c>
      <c r="J44" s="18">
        <f>(Input_external!N8/Input_external!M8-1)*100</f>
        <v>47.44591346153846</v>
      </c>
      <c r="K44" s="42">
        <f>(Input_external!O8/Input_external!N8-1)*100</f>
        <v>0.020379050336249982</v>
      </c>
      <c r="L44" s="42">
        <f>(Input_external!P8/Input_external!O8-1)*100</f>
        <v>3.4839262428687734</v>
      </c>
      <c r="M44" s="42">
        <f>(Input_external!Q8/Input_external!P8-1)*100</f>
        <v>11.325841860618159</v>
      </c>
      <c r="O44" s="42">
        <f>(Input_external!R8/Input_external!Q8-1)*100</f>
        <v>1.6240463094898239</v>
      </c>
      <c r="P44" s="42">
        <f>(Input_external!S8/Input_external!R8-1)*100</f>
        <v>1.3781896600373544</v>
      </c>
      <c r="Q44" s="42">
        <f>(Input_external!T8/Input_external!S8-1)*100</f>
        <v>0.22698804068845835</v>
      </c>
      <c r="R44" s="42">
        <f>(Input_external!U8/Input_external!T8-1)*100</f>
        <v>-1.3526992764481216</v>
      </c>
      <c r="S44" s="42">
        <f>(Input_external!V8/Input_external!U8-1)*100</f>
        <v>0.2609175789251905</v>
      </c>
      <c r="T44" s="42">
        <f>(Input_external!W8/Input_external!V8-1)*100</f>
        <v>2.1076190543933393</v>
      </c>
    </row>
    <row r="45" spans="2:3" ht="12.75">
      <c r="B45" s="11"/>
      <c r="C45" s="11"/>
    </row>
    <row r="46" spans="2:20" ht="12.75">
      <c r="B46" s="140" t="s">
        <v>147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</row>
    <row r="47" spans="4:9" ht="12.75">
      <c r="D47" s="1"/>
      <c r="E47" s="1"/>
      <c r="F47" s="28"/>
      <c r="G47" s="28"/>
      <c r="H47" s="28"/>
      <c r="I47" s="28"/>
    </row>
    <row r="48" spans="2:12" ht="12.75">
      <c r="B48" s="1" t="s">
        <v>56</v>
      </c>
      <c r="C48" s="16"/>
      <c r="J48" s="38" t="s">
        <v>57</v>
      </c>
      <c r="L48" s="38" t="s">
        <v>59</v>
      </c>
    </row>
    <row r="49" spans="10:12" ht="12.75">
      <c r="J49" s="20" t="s">
        <v>58</v>
      </c>
      <c r="L49" s="20" t="s">
        <v>60</v>
      </c>
    </row>
    <row r="50" spans="10:12" ht="12.75">
      <c r="J50" s="21"/>
      <c r="L50" s="21"/>
    </row>
    <row r="51" spans="2:12" ht="12.75">
      <c r="B51" t="s">
        <v>61</v>
      </c>
      <c r="J51" s="42">
        <f>-Table!O45</f>
        <v>-15.344347784252289</v>
      </c>
      <c r="L51" s="42">
        <f>Table!Q45</f>
        <v>7.968785501420509</v>
      </c>
    </row>
    <row r="52" spans="2:12" ht="12.75">
      <c r="B52" t="s">
        <v>62</v>
      </c>
      <c r="J52" s="42">
        <f>Table!O46</f>
        <v>1.22504412569226</v>
      </c>
      <c r="L52" s="19" t="s">
        <v>71</v>
      </c>
    </row>
    <row r="53" spans="2:14" ht="12.75">
      <c r="B53" t="s">
        <v>63</v>
      </c>
      <c r="J53" s="42">
        <f>Table!O42</f>
        <v>6.255051331167772</v>
      </c>
      <c r="K53" s="40"/>
      <c r="L53" s="42">
        <f>Table!Q42</f>
        <v>3.8399479075665797</v>
      </c>
      <c r="M53" s="40"/>
      <c r="N53" s="40"/>
    </row>
    <row r="54" spans="2:12" ht="12.75">
      <c r="B54" t="s">
        <v>44</v>
      </c>
      <c r="D54" s="1"/>
      <c r="E54" s="1"/>
      <c r="F54" s="28"/>
      <c r="G54" s="28"/>
      <c r="H54" s="28"/>
      <c r="I54" s="28"/>
      <c r="J54" s="42">
        <f>Table!O38</f>
        <v>3.7496090587012603</v>
      </c>
      <c r="L54" s="42">
        <f>Table!Q38</f>
        <v>1.6250931000133242</v>
      </c>
    </row>
    <row r="55" spans="2:12" ht="12.75">
      <c r="B55" s="36" t="s">
        <v>65</v>
      </c>
      <c r="J55" s="42">
        <f>Table!O41</f>
        <v>9.961020467032732</v>
      </c>
      <c r="L55" s="42">
        <f>Table!Q41</f>
        <v>12.90494760066813</v>
      </c>
    </row>
    <row r="57" spans="2:20" ht="12.75">
      <c r="B57" s="3"/>
      <c r="C57" s="3"/>
      <c r="D57" s="3"/>
      <c r="E57" s="3"/>
      <c r="F57" s="38"/>
      <c r="G57" s="38"/>
      <c r="H57" s="38"/>
      <c r="I57" s="38"/>
      <c r="J57" s="38"/>
      <c r="K57" s="44"/>
      <c r="L57" s="44"/>
      <c r="M57" s="44"/>
      <c r="N57" s="44"/>
      <c r="O57" s="44"/>
      <c r="P57" s="44"/>
      <c r="Q57" s="44"/>
      <c r="R57" s="44"/>
      <c r="S57" s="44"/>
      <c r="T57" s="44"/>
    </row>
    <row r="58" spans="2:20" ht="12.75">
      <c r="B58" s="10" t="s">
        <v>92</v>
      </c>
      <c r="C58" s="5"/>
      <c r="D58" s="5"/>
      <c r="E58" s="5"/>
      <c r="F58" s="21"/>
      <c r="G58" s="21"/>
      <c r="H58" s="21"/>
      <c r="I58" s="21"/>
      <c r="J58" s="21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2:3" ht="12.75">
      <c r="B59" s="10" t="s">
        <v>93</v>
      </c>
      <c r="C59" s="10"/>
    </row>
    <row r="60" spans="2:3" ht="12.75">
      <c r="B60" s="10" t="s">
        <v>94</v>
      </c>
      <c r="C60" s="10"/>
    </row>
    <row r="61" spans="2:3" ht="12.75">
      <c r="B61" s="10" t="s">
        <v>95</v>
      </c>
      <c r="C61" s="10"/>
    </row>
    <row r="62" spans="2:3" ht="12.75">
      <c r="B62" s="10" t="s">
        <v>91</v>
      </c>
      <c r="C62" s="10"/>
    </row>
    <row r="63" spans="2:3" ht="12.75">
      <c r="B63" s="10"/>
      <c r="C63" s="10"/>
    </row>
    <row r="65" ht="12.75">
      <c r="B65" s="1" t="s">
        <v>83</v>
      </c>
    </row>
    <row r="66" spans="2:20" ht="12.75">
      <c r="B66" t="s">
        <v>74</v>
      </c>
      <c r="M66" s="42">
        <f aca="true" t="shared" si="16" ref="M66:T66">M12/100*M37</f>
        <v>5.0875934142973</v>
      </c>
      <c r="O66" s="42">
        <f t="shared" si="16"/>
        <v>4.884482602310538</v>
      </c>
      <c r="P66" s="42">
        <f t="shared" si="16"/>
        <v>4.546523138871312</v>
      </c>
      <c r="Q66" s="42">
        <f t="shared" si="16"/>
        <v>4.543638808731148</v>
      </c>
      <c r="R66" s="42">
        <f t="shared" si="16"/>
        <v>4.45151566856804</v>
      </c>
      <c r="S66" s="42">
        <f t="shared" si="16"/>
        <v>4.405260725533185</v>
      </c>
      <c r="T66" s="42">
        <f t="shared" si="16"/>
        <v>4.317638190531798</v>
      </c>
    </row>
    <row r="67" spans="2:20" ht="12.75">
      <c r="B67" t="s">
        <v>79</v>
      </c>
      <c r="M67" s="42">
        <f>Input_external!Q28/100*'A1_historical'!M66</f>
        <v>0</v>
      </c>
      <c r="O67" s="42">
        <f>Input_external!R28/100*O66</f>
        <v>0</v>
      </c>
      <c r="P67" s="42">
        <f>Input_external!S28/100*P66</f>
        <v>0</v>
      </c>
      <c r="Q67" s="42">
        <f>Input_external!T28/100*Q66</f>
        <v>0</v>
      </c>
      <c r="R67" s="42">
        <f>Input_external!U28/100*R66</f>
        <v>0</v>
      </c>
      <c r="S67" s="42">
        <f>Input_external!V28/100*S66</f>
        <v>0</v>
      </c>
      <c r="T67" s="42">
        <f>Input_external!W28/100*T66</f>
        <v>0</v>
      </c>
    </row>
    <row r="68" spans="2:20" ht="12.75">
      <c r="B68" s="6" t="s">
        <v>80</v>
      </c>
      <c r="O68" s="42">
        <f>(O66-O67)/Input_external!R29</f>
        <v>0.846984113616254</v>
      </c>
      <c r="P68" s="42">
        <f>(P66-P67)/Input_external!S29</f>
        <v>0.661869446306702</v>
      </c>
      <c r="Q68" s="42">
        <f>(Q66-Q67)/Input_external!T29</f>
        <v>0.556327149221106</v>
      </c>
      <c r="R68" s="42">
        <f>(R66-R67)/Input_external!U29</f>
        <v>0.6335962791247024</v>
      </c>
      <c r="S68" s="42">
        <f>(S66-S67)/Input_external!V29</f>
        <v>0.5719150123356525</v>
      </c>
      <c r="T68" s="42">
        <f>(T66-T67)/Input_external!W29</f>
        <v>0.5841776594989528</v>
      </c>
    </row>
    <row r="69" spans="2:20" ht="12.75">
      <c r="B69" s="6" t="s">
        <v>81</v>
      </c>
      <c r="O69" s="42">
        <f>O42/100*M66</f>
        <v>0.12503365943584716</v>
      </c>
      <c r="P69" s="42">
        <f>P42/100*O66</f>
        <v>0.12221575383018966</v>
      </c>
      <c r="Q69" s="42">
        <f>Q42/100*P66</f>
        <v>0.11425301429743065</v>
      </c>
      <c r="R69" s="42">
        <f>R42/100*Q66</f>
        <v>0.13175874862557382</v>
      </c>
      <c r="S69" s="42">
        <f>S42/100*R66</f>
        <v>0.12970772399531721</v>
      </c>
      <c r="T69" s="42">
        <f>T42/100*S66</f>
        <v>0.1278227335747278</v>
      </c>
    </row>
    <row r="70" spans="2:20" ht="12.75">
      <c r="B70" t="s">
        <v>82</v>
      </c>
      <c r="O70" s="42">
        <f aca="true" t="shared" si="17" ref="O70:T70">O16/100*O37</f>
        <v>-10.933873627773293</v>
      </c>
      <c r="P70" s="42">
        <f t="shared" si="17"/>
        <v>-7.849256574860489</v>
      </c>
      <c r="Q70" s="42">
        <f t="shared" si="17"/>
        <v>-9.176726002733751</v>
      </c>
      <c r="R70" s="42">
        <f t="shared" si="17"/>
        <v>-9.457497701999575</v>
      </c>
      <c r="S70" s="42">
        <f t="shared" si="17"/>
        <v>-10.170187444208839</v>
      </c>
      <c r="T70" s="42">
        <f t="shared" si="17"/>
        <v>-12.630825806198954</v>
      </c>
    </row>
    <row r="71" spans="2:20" ht="12.75">
      <c r="B71" s="1" t="s">
        <v>33</v>
      </c>
      <c r="O71" s="42">
        <f>M67+O68+O69+O70</f>
        <v>-9.961855854721192</v>
      </c>
      <c r="P71" s="42">
        <f>O67+P68+P69+P70</f>
        <v>-7.065171374723597</v>
      </c>
      <c r="Q71" s="42">
        <f>P67+Q68+Q69+Q70</f>
        <v>-8.506145839215215</v>
      </c>
      <c r="R71" s="42">
        <f>Q67+R68+R69+R70</f>
        <v>-8.692142674249299</v>
      </c>
      <c r="S71" s="42">
        <f>R67+S68+S69+S70</f>
        <v>-9.468564707877869</v>
      </c>
      <c r="T71" s="42">
        <f>S67+T68+T69+T70</f>
        <v>-11.918825413125274</v>
      </c>
    </row>
  </sheetData>
  <sheetProtection/>
  <mergeCells count="5">
    <mergeCell ref="B46:T46"/>
    <mergeCell ref="B3:T3"/>
    <mergeCell ref="B4:T4"/>
    <mergeCell ref="F7:M7"/>
    <mergeCell ref="C10:T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W128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4" sqref="F4:W17"/>
    </sheetView>
  </sheetViews>
  <sheetFormatPr defaultColWidth="9.33203125" defaultRowHeight="12.75"/>
  <cols>
    <col min="1" max="1" width="13.16015625" style="143" customWidth="1"/>
    <col min="2" max="2" width="8.5" style="143" bestFit="1" customWidth="1"/>
    <col min="3" max="3" width="13.33203125" style="143" customWidth="1"/>
    <col min="4" max="4" width="15.33203125" style="143" customWidth="1"/>
    <col min="5" max="5" width="41.16015625" style="143" customWidth="1"/>
    <col min="6" max="6" width="7.83203125" style="144" bestFit="1" customWidth="1"/>
    <col min="7" max="7" width="8.5" style="144" bestFit="1" customWidth="1"/>
    <col min="8" max="8" width="7.83203125" style="144" bestFit="1" customWidth="1"/>
    <col min="9" max="17" width="8.16015625" style="144" bestFit="1" customWidth="1"/>
    <col min="18" max="18" width="11.5" style="144" customWidth="1"/>
    <col min="19" max="23" width="9.66015625" style="143" bestFit="1" customWidth="1"/>
    <col min="24" max="16384" width="9.33203125" style="143" customWidth="1"/>
  </cols>
  <sheetData>
    <row r="1" spans="1:18" ht="14.25">
      <c r="A1" s="141" t="s">
        <v>186</v>
      </c>
      <c r="B1" s="142" t="s">
        <v>258</v>
      </c>
      <c r="R1" s="145" t="s">
        <v>336</v>
      </c>
    </row>
    <row r="2" spans="1:23" ht="14.25">
      <c r="A2" s="146">
        <f>VLOOKUP(A1,Instructions!B64:C207,2)</f>
        <v>612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 t="s">
        <v>115</v>
      </c>
      <c r="S2" s="146"/>
      <c r="T2" s="146"/>
      <c r="U2" s="146"/>
      <c r="V2" s="146"/>
      <c r="W2" s="146"/>
    </row>
    <row r="3" spans="1:23" ht="14.25">
      <c r="A3" s="143" t="s">
        <v>2</v>
      </c>
      <c r="B3" s="143" t="s">
        <v>3</v>
      </c>
      <c r="C3" s="143" t="s">
        <v>4</v>
      </c>
      <c r="D3" s="143" t="s">
        <v>5</v>
      </c>
      <c r="E3" s="143" t="s">
        <v>6</v>
      </c>
      <c r="F3" s="148">
        <f aca="true" t="shared" si="0" ref="F3:P3">G3-1</f>
        <v>2003</v>
      </c>
      <c r="G3" s="148">
        <f t="shared" si="0"/>
        <v>2004</v>
      </c>
      <c r="H3" s="148">
        <f t="shared" si="0"/>
        <v>2005</v>
      </c>
      <c r="I3" s="148">
        <f t="shared" si="0"/>
        <v>2006</v>
      </c>
      <c r="J3" s="148">
        <f t="shared" si="0"/>
        <v>2007</v>
      </c>
      <c r="K3" s="148">
        <f t="shared" si="0"/>
        <v>2008</v>
      </c>
      <c r="L3" s="148">
        <f t="shared" si="0"/>
        <v>2009</v>
      </c>
      <c r="M3" s="148">
        <f t="shared" si="0"/>
        <v>2010</v>
      </c>
      <c r="N3" s="148">
        <f t="shared" si="0"/>
        <v>2011</v>
      </c>
      <c r="O3" s="148">
        <f t="shared" si="0"/>
        <v>2012</v>
      </c>
      <c r="P3" s="148">
        <f t="shared" si="0"/>
        <v>2013</v>
      </c>
      <c r="Q3" s="148">
        <f>R3-1</f>
        <v>2014</v>
      </c>
      <c r="R3" s="149">
        <v>2015</v>
      </c>
      <c r="S3" s="148">
        <f>R3+1</f>
        <v>2016</v>
      </c>
      <c r="T3" s="148">
        <f>S3+1</f>
        <v>2017</v>
      </c>
      <c r="U3" s="148">
        <f>T3+1</f>
        <v>2018</v>
      </c>
      <c r="V3" s="148">
        <f>U3+1</f>
        <v>2019</v>
      </c>
      <c r="W3" s="148">
        <f>V3+1</f>
        <v>2020</v>
      </c>
    </row>
    <row r="4" spans="1:23" ht="14.25">
      <c r="A4" s="143" t="s">
        <v>7</v>
      </c>
      <c r="B4" s="143" t="s">
        <v>8</v>
      </c>
      <c r="E4" s="143" t="s">
        <v>9</v>
      </c>
      <c r="F4" s="161">
        <v>25.261</v>
      </c>
      <c r="G4" s="161">
        <v>22.701</v>
      </c>
      <c r="H4" s="161">
        <v>22.642</v>
      </c>
      <c r="I4" s="161">
        <v>23.3531</v>
      </c>
      <c r="J4" s="161">
        <v>21.821</v>
      </c>
      <c r="K4" s="161">
        <v>17.192</v>
      </c>
      <c r="L4" s="161">
        <v>5.612</v>
      </c>
      <c r="M4" s="161">
        <v>5.795</v>
      </c>
      <c r="N4" s="161">
        <v>5.921</v>
      </c>
      <c r="O4" s="161">
        <v>5.68703</v>
      </c>
      <c r="P4" s="161">
        <v>5.68065</v>
      </c>
      <c r="Q4" s="161">
        <v>5.0875934142973</v>
      </c>
      <c r="R4" s="161">
        <v>4.88595935504807</v>
      </c>
      <c r="S4" s="161">
        <v>4.865765100710419</v>
      </c>
      <c r="T4" s="161">
        <v>4.88777666195281</v>
      </c>
      <c r="U4" s="161">
        <v>4.82291002217377</v>
      </c>
      <c r="V4" s="161">
        <v>4.80495558250086</v>
      </c>
      <c r="W4" s="161">
        <v>4.74692289093935</v>
      </c>
    </row>
    <row r="5" spans="1:23" ht="14.25">
      <c r="A5" s="143" t="s">
        <v>7</v>
      </c>
      <c r="B5" s="143" t="s">
        <v>8</v>
      </c>
      <c r="E5" s="143" t="s">
        <v>10</v>
      </c>
      <c r="F5" s="161">
        <v>3.12</v>
      </c>
      <c r="G5" s="161">
        <v>2.76</v>
      </c>
      <c r="H5" s="161">
        <v>2.37</v>
      </c>
      <c r="I5" s="161">
        <v>2.08</v>
      </c>
      <c r="J5" s="161">
        <v>1.9900000000000004</v>
      </c>
      <c r="K5" s="161">
        <v>1.63</v>
      </c>
      <c r="L5" s="161">
        <v>2.16</v>
      </c>
      <c r="M5" s="161">
        <v>0.23</v>
      </c>
      <c r="N5" s="161">
        <v>0.19</v>
      </c>
      <c r="O5" s="161">
        <v>0.17</v>
      </c>
      <c r="P5" s="161">
        <v>0.11</v>
      </c>
      <c r="Q5" s="161">
        <v>0.12419951789394974</v>
      </c>
      <c r="R5" s="161">
        <v>0.12503365943584716</v>
      </c>
      <c r="S5" s="161">
        <v>0.12225270399743009</v>
      </c>
      <c r="T5" s="161">
        <v>0.12227548670464206</v>
      </c>
      <c r="U5" s="161">
        <v>0.1417382330881251</v>
      </c>
      <c r="V5" s="161">
        <v>0.14052936765503896</v>
      </c>
      <c r="W5" s="161">
        <v>0.139420251269253</v>
      </c>
    </row>
    <row r="6" spans="1:23" ht="14.25">
      <c r="A6" s="143" t="s">
        <v>7</v>
      </c>
      <c r="B6" s="143" t="s">
        <v>8</v>
      </c>
      <c r="E6" s="143" t="s">
        <v>0</v>
      </c>
      <c r="F6" s="161">
        <v>9.14231626</v>
      </c>
      <c r="G6" s="161">
        <v>7.0598</v>
      </c>
      <c r="H6" s="161">
        <v>4.35916</v>
      </c>
      <c r="I6" s="161">
        <v>8.808</v>
      </c>
      <c r="J6" s="161">
        <v>11.116178</v>
      </c>
      <c r="K6" s="161">
        <v>21.183</v>
      </c>
      <c r="L6" s="161">
        <v>28.95</v>
      </c>
      <c r="M6" s="161">
        <v>30.6</v>
      </c>
      <c r="N6" s="161">
        <v>34.452195</v>
      </c>
      <c r="O6" s="161">
        <v>0.41058800000001</v>
      </c>
      <c r="P6" s="161">
        <v>12.13064582097</v>
      </c>
      <c r="Q6" s="161">
        <v>19.6490074118004</v>
      </c>
      <c r="R6" s="161">
        <v>11.0712544644787</v>
      </c>
      <c r="S6" s="161">
        <v>7.72700387086306</v>
      </c>
      <c r="T6" s="161">
        <v>9.05445051602911</v>
      </c>
      <c r="U6" s="161">
        <v>9.31575946891145</v>
      </c>
      <c r="V6" s="161">
        <v>10.0296580765538</v>
      </c>
      <c r="W6" s="161">
        <v>12.4914055549297</v>
      </c>
    </row>
    <row r="7" spans="1:23" ht="14.25">
      <c r="A7" s="143" t="s">
        <v>7</v>
      </c>
      <c r="B7" s="143" t="s">
        <v>8</v>
      </c>
      <c r="E7" s="143" t="s">
        <v>14</v>
      </c>
      <c r="F7" s="161">
        <v>22.56231626</v>
      </c>
      <c r="G7" s="161">
        <v>20.0018</v>
      </c>
      <c r="H7" s="161">
        <v>20.00916</v>
      </c>
      <c r="I7" s="161">
        <v>26.03</v>
      </c>
      <c r="J7" s="161">
        <v>34.070178</v>
      </c>
      <c r="K7" s="161">
        <v>48.84</v>
      </c>
      <c r="L7" s="161">
        <v>57.32</v>
      </c>
      <c r="M7" s="161">
        <v>63.48</v>
      </c>
      <c r="N7" s="161">
        <v>82.082195</v>
      </c>
      <c r="O7" s="161">
        <v>48.170588</v>
      </c>
      <c r="P7" s="161">
        <v>60.680556820970004</v>
      </c>
      <c r="Q7" s="161">
        <v>76.80870310794617</v>
      </c>
      <c r="R7" s="161">
        <v>70.4222504579135</v>
      </c>
      <c r="S7" s="161">
        <v>68.03595488061768</v>
      </c>
      <c r="T7" s="161">
        <v>68.50714523115619</v>
      </c>
      <c r="U7" s="161">
        <v>66.8978077680117</v>
      </c>
      <c r="V7" s="161">
        <v>66.60099479386405</v>
      </c>
      <c r="W7" s="161">
        <v>67.10582972107467</v>
      </c>
    </row>
    <row r="8" spans="1:23" ht="14.25">
      <c r="A8" s="143" t="s">
        <v>7</v>
      </c>
      <c r="B8" s="143" t="s">
        <v>8</v>
      </c>
      <c r="E8" s="143" t="s">
        <v>15</v>
      </c>
      <c r="F8" s="161">
        <v>-11.705</v>
      </c>
      <c r="G8" s="161">
        <v>-11.922</v>
      </c>
      <c r="H8" s="161">
        <v>-14.49</v>
      </c>
      <c r="I8" s="161">
        <v>-16.272</v>
      </c>
      <c r="J8" s="161">
        <v>-21.814</v>
      </c>
      <c r="K8" s="161">
        <v>-24.637</v>
      </c>
      <c r="L8" s="161">
        <v>-25.46</v>
      </c>
      <c r="M8" s="161">
        <v>-33.28</v>
      </c>
      <c r="N8" s="161">
        <v>-49.07</v>
      </c>
      <c r="O8" s="161">
        <v>-49.08</v>
      </c>
      <c r="P8" s="161">
        <v>-50.789911</v>
      </c>
      <c r="Q8" s="161">
        <v>-56.5422960010087</v>
      </c>
      <c r="R8" s="161">
        <v>-57.46056907251389</v>
      </c>
      <c r="S8" s="161">
        <v>-58.2524846940699</v>
      </c>
      <c r="T8" s="161">
        <v>-58.38471086772931</v>
      </c>
      <c r="U8" s="161">
        <v>-57.594941306265206</v>
      </c>
      <c r="V8" s="161">
        <v>-57.7452166327049</v>
      </c>
      <c r="W8" s="161">
        <v>-58.9622658214565</v>
      </c>
    </row>
    <row r="9" spans="1:23" ht="14.25">
      <c r="A9" s="143" t="s">
        <v>7</v>
      </c>
      <c r="B9" s="143" t="s">
        <v>8</v>
      </c>
      <c r="E9" s="143" t="s">
        <v>22</v>
      </c>
      <c r="F9" s="161">
        <v>0.42</v>
      </c>
      <c r="G9" s="161">
        <v>1.18</v>
      </c>
      <c r="H9" s="161">
        <v>0.97</v>
      </c>
      <c r="I9" s="161">
        <v>0.62</v>
      </c>
      <c r="J9" s="161">
        <v>0.62</v>
      </c>
      <c r="K9" s="161">
        <v>1.06</v>
      </c>
      <c r="L9" s="161">
        <v>1.76</v>
      </c>
      <c r="M9" s="161">
        <v>1.37</v>
      </c>
      <c r="N9" s="161">
        <v>2.49</v>
      </c>
      <c r="O9" s="161">
        <v>2.54</v>
      </c>
      <c r="P9" s="161">
        <v>1.9</v>
      </c>
      <c r="Q9" s="161">
        <v>1.67532443890829</v>
      </c>
      <c r="R9" s="161">
        <v>1.67858417207554</v>
      </c>
      <c r="S9" s="161">
        <v>2.0319416972378</v>
      </c>
      <c r="T9" s="161">
        <v>2.07062228026542</v>
      </c>
      <c r="U9" s="161">
        <v>2.11403472587073</v>
      </c>
      <c r="V9" s="161">
        <v>2.15831542038815</v>
      </c>
      <c r="W9" s="161">
        <v>2.32606488299979</v>
      </c>
    </row>
    <row r="10" spans="1:23" ht="14.25">
      <c r="A10" s="143" t="s">
        <v>7</v>
      </c>
      <c r="B10" s="143" t="s">
        <v>8</v>
      </c>
      <c r="E10" s="143" t="s">
        <v>23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0</v>
      </c>
      <c r="U10" s="161">
        <v>0</v>
      </c>
      <c r="V10" s="161">
        <v>0</v>
      </c>
      <c r="W10" s="161">
        <v>0</v>
      </c>
    </row>
    <row r="11" spans="1:23" ht="14.25">
      <c r="A11" s="143" t="s">
        <v>7</v>
      </c>
      <c r="B11" s="143" t="s">
        <v>8</v>
      </c>
      <c r="E11" s="143" t="s">
        <v>261</v>
      </c>
      <c r="F11" s="161">
        <v>54.749143945881706</v>
      </c>
      <c r="G11" s="161">
        <v>54.74454445379784</v>
      </c>
      <c r="H11" s="161">
        <v>56.76069471234998</v>
      </c>
      <c r="I11" s="161">
        <v>67.86355707733058</v>
      </c>
      <c r="J11" s="161">
        <v>85.34343158219005</v>
      </c>
      <c r="K11" s="161">
        <v>103.22026548599102</v>
      </c>
      <c r="L11" s="161">
        <v>117.28832519614924</v>
      </c>
      <c r="M11" s="161">
        <v>134.30332908082272</v>
      </c>
      <c r="N11" s="161">
        <v>171.71745418284743</v>
      </c>
      <c r="O11" s="161">
        <v>137.96364406325236</v>
      </c>
      <c r="P11" s="161">
        <v>160.77935837168434</v>
      </c>
      <c r="Q11" s="161">
        <v>190.16422642397583</v>
      </c>
      <c r="R11" s="161">
        <v>194.24583328316322</v>
      </c>
      <c r="S11" s="161">
        <v>200.7643614916311</v>
      </c>
      <c r="T11" s="161">
        <v>210.4889902533686</v>
      </c>
      <c r="U11" s="161">
        <v>218.43514390224254</v>
      </c>
      <c r="V11" s="161">
        <v>228.18389803595005</v>
      </c>
      <c r="W11" s="161">
        <v>239.22946707474804</v>
      </c>
    </row>
    <row r="12" spans="1:23" ht="14.25">
      <c r="A12" s="143" t="s">
        <v>16</v>
      </c>
      <c r="B12" s="143" t="s">
        <v>8</v>
      </c>
      <c r="E12" s="143" t="s">
        <v>17</v>
      </c>
      <c r="F12" s="161">
        <v>4123.5139</v>
      </c>
      <c r="G12" s="161">
        <v>4227.1</v>
      </c>
      <c r="H12" s="161">
        <v>4522.8</v>
      </c>
      <c r="I12" s="161">
        <v>5252.3</v>
      </c>
      <c r="J12" s="161">
        <v>6150.3</v>
      </c>
      <c r="K12" s="161">
        <v>7563.6</v>
      </c>
      <c r="L12" s="161">
        <v>8520.6</v>
      </c>
      <c r="M12" s="161">
        <v>9306.2</v>
      </c>
      <c r="N12" s="161">
        <v>11089.994</v>
      </c>
      <c r="O12" s="161">
        <v>10034.22</v>
      </c>
      <c r="P12" s="161">
        <v>12049.4</v>
      </c>
      <c r="Q12" s="161">
        <v>13825.234015574</v>
      </c>
      <c r="R12" s="161">
        <v>14460.9024915074</v>
      </c>
      <c r="S12" s="161">
        <v>15265.044692356</v>
      </c>
      <c r="T12" s="161">
        <v>16290.3235995432</v>
      </c>
      <c r="U12" s="161">
        <v>17200.4892414019</v>
      </c>
      <c r="V12" s="161">
        <v>18276.0616028914</v>
      </c>
      <c r="W12" s="161">
        <v>19486.4731818267</v>
      </c>
    </row>
    <row r="13" spans="1:23" ht="14.25">
      <c r="A13" s="143" t="s">
        <v>16</v>
      </c>
      <c r="B13" s="143" t="s">
        <v>8</v>
      </c>
      <c r="E13" s="143" t="s">
        <v>18</v>
      </c>
      <c r="F13" s="161">
        <v>4116.01518987342</v>
      </c>
      <c r="G13" s="161">
        <v>4227.1476</v>
      </c>
      <c r="H13" s="161">
        <v>4425.8235372</v>
      </c>
      <c r="I13" s="161">
        <v>4731.2053612668</v>
      </c>
      <c r="J13" s="161">
        <v>4977.22804005267</v>
      </c>
      <c r="K13" s="161">
        <v>5231.06667009536</v>
      </c>
      <c r="L13" s="161">
        <v>5335.68800349727</v>
      </c>
      <c r="M13" s="161">
        <v>5495.75864360219</v>
      </c>
      <c r="N13" s="161">
        <v>5627.65685104864</v>
      </c>
      <c r="O13" s="161">
        <v>5764.91266796427</v>
      </c>
      <c r="P13" s="161">
        <v>5954.39082761633</v>
      </c>
      <c r="Q13" s="161">
        <v>6101.48756432977</v>
      </c>
      <c r="R13" s="161">
        <v>6288.23151286641</v>
      </c>
      <c r="S13" s="161">
        <v>6512.53349569896</v>
      </c>
      <c r="T13" s="161">
        <v>6741.1011899998</v>
      </c>
      <c r="U13" s="161">
        <v>6980.75044390424</v>
      </c>
      <c r="V13" s="161">
        <v>7278.20743581473</v>
      </c>
      <c r="W13" s="161">
        <v>7593.3965260415</v>
      </c>
    </row>
    <row r="14" spans="1:23" ht="14.25">
      <c r="A14" s="143" t="s">
        <v>11</v>
      </c>
      <c r="B14" s="143" t="s">
        <v>12</v>
      </c>
      <c r="E14" s="143" t="s">
        <v>13</v>
      </c>
      <c r="F14" s="161">
        <v>75.3165</v>
      </c>
      <c r="G14" s="161">
        <v>77.215</v>
      </c>
      <c r="H14" s="161">
        <v>79.6819</v>
      </c>
      <c r="I14" s="161">
        <v>77.395</v>
      </c>
      <c r="J14" s="161">
        <v>72.0653</v>
      </c>
      <c r="K14" s="161">
        <v>73.2763083333333</v>
      </c>
      <c r="L14" s="161">
        <v>72.6466166666667</v>
      </c>
      <c r="M14" s="161">
        <v>69.2924</v>
      </c>
      <c r="N14" s="161">
        <v>64.5828</v>
      </c>
      <c r="O14" s="161">
        <v>72.7309</v>
      </c>
      <c r="P14" s="161">
        <v>74.9437</v>
      </c>
      <c r="Q14" s="161">
        <v>72.70155</v>
      </c>
      <c r="R14" s="161">
        <v>74.4463973671287</v>
      </c>
      <c r="S14" s="161">
        <v>76.0346337315068</v>
      </c>
      <c r="T14" s="161">
        <v>77.3927585472965</v>
      </c>
      <c r="U14" s="161">
        <v>78.7441477324717</v>
      </c>
      <c r="V14" s="161">
        <v>80.0935638325016</v>
      </c>
      <c r="W14" s="161">
        <v>81.4551544176541</v>
      </c>
    </row>
    <row r="15" spans="1:23" ht="14.25">
      <c r="A15" s="143" t="s">
        <v>19</v>
      </c>
      <c r="B15" s="143" t="s">
        <v>12</v>
      </c>
      <c r="E15" s="143" t="s">
        <v>20</v>
      </c>
      <c r="F15" s="161">
        <v>100.18218373306853</v>
      </c>
      <c r="G15" s="161">
        <v>99.99887394516341</v>
      </c>
      <c r="H15" s="161">
        <v>102.19115068607891</v>
      </c>
      <c r="I15" s="161">
        <v>111.01399324153782</v>
      </c>
      <c r="J15" s="161">
        <v>123.56878066480787</v>
      </c>
      <c r="K15" s="161">
        <v>144.59001341426452</v>
      </c>
      <c r="L15" s="161">
        <v>159.69074643073552</v>
      </c>
      <c r="M15" s="161">
        <v>169.3342194136142</v>
      </c>
      <c r="N15" s="161">
        <v>197.06237060160348</v>
      </c>
      <c r="O15" s="161">
        <v>174.05675641472163</v>
      </c>
      <c r="P15" s="161">
        <v>202.36159077961688</v>
      </c>
      <c r="Q15" s="161">
        <v>226.58792417112235</v>
      </c>
      <c r="R15" s="161">
        <v>229.9677176630474</v>
      </c>
      <c r="S15" s="161">
        <v>234.39487416744066</v>
      </c>
      <c r="T15" s="161">
        <v>241.65671364953485</v>
      </c>
      <c r="U15" s="161">
        <v>246.39885610610514</v>
      </c>
      <c r="V15" s="161">
        <v>251.10663256117488</v>
      </c>
      <c r="W15" s="161">
        <v>256.6239378517634</v>
      </c>
    </row>
    <row r="16" spans="1:23" ht="14.25">
      <c r="A16" s="143" t="s">
        <v>7</v>
      </c>
      <c r="B16" s="143" t="s">
        <v>8</v>
      </c>
      <c r="E16" s="143" t="s">
        <v>34</v>
      </c>
      <c r="F16" s="161">
        <v>2.85974</v>
      </c>
      <c r="G16" s="161">
        <v>3.04285</v>
      </c>
      <c r="H16" s="161">
        <v>3.22</v>
      </c>
      <c r="I16" s="161">
        <v>3.47</v>
      </c>
      <c r="J16" s="161">
        <v>4.72</v>
      </c>
      <c r="K16" s="161">
        <v>5.09</v>
      </c>
      <c r="L16" s="161">
        <v>12.87</v>
      </c>
      <c r="M16" s="161">
        <v>1.28</v>
      </c>
      <c r="N16" s="161">
        <v>1.27</v>
      </c>
      <c r="O16" s="161">
        <v>1.29</v>
      </c>
      <c r="P16" s="161">
        <v>1.86</v>
      </c>
      <c r="Q16" s="161">
        <v>1.08076195692936</v>
      </c>
      <c r="R16" s="161">
        <v>0.847240187024692</v>
      </c>
      <c r="S16" s="161">
        <v>0.7083437507513</v>
      </c>
      <c r="T16" s="161">
        <v>0.598463691952887</v>
      </c>
      <c r="U16" s="161">
        <v>0.686457843151997</v>
      </c>
      <c r="V16" s="161">
        <v>0.623805582110157</v>
      </c>
      <c r="W16" s="161">
        <v>0.64226</v>
      </c>
    </row>
    <row r="17" spans="1:23" ht="14.25">
      <c r="A17" s="143" t="s">
        <v>7</v>
      </c>
      <c r="B17" s="143" t="s">
        <v>8</v>
      </c>
      <c r="E17" s="143" t="s">
        <v>264</v>
      </c>
      <c r="F17" s="161">
        <v>0.212</v>
      </c>
      <c r="G17" s="161">
        <v>0.262</v>
      </c>
      <c r="H17" s="161">
        <v>0.5869</v>
      </c>
      <c r="I17" s="161">
        <v>0.2221</v>
      </c>
      <c r="J17" s="161">
        <v>0.6385</v>
      </c>
      <c r="K17" s="161">
        <v>1.7898</v>
      </c>
      <c r="L17" s="161">
        <v>0.0700000000000001</v>
      </c>
      <c r="M17" s="161">
        <v>0.63</v>
      </c>
      <c r="N17" s="161">
        <v>0.12</v>
      </c>
      <c r="O17" s="161">
        <v>0.61</v>
      </c>
      <c r="P17" s="161">
        <v>1.42</v>
      </c>
      <c r="Q17" s="161">
        <v>0</v>
      </c>
      <c r="R17" s="161">
        <v>0</v>
      </c>
      <c r="S17" s="161">
        <v>0</v>
      </c>
      <c r="T17" s="161">
        <v>0</v>
      </c>
      <c r="U17" s="161">
        <v>0</v>
      </c>
      <c r="V17" s="161">
        <v>0</v>
      </c>
      <c r="W17" s="161">
        <v>0</v>
      </c>
    </row>
    <row r="18" spans="6:17" ht="14.25"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</row>
    <row r="19" spans="6:19" ht="14.25"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50"/>
      <c r="R19" s="150"/>
      <c r="S19" s="150"/>
    </row>
    <row r="20" spans="5:19" ht="14.25">
      <c r="E20" s="142" t="s">
        <v>101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50"/>
      <c r="R20" s="150"/>
      <c r="S20" s="150"/>
    </row>
    <row r="21" spans="1:23" s="151" customFormat="1" ht="14.25">
      <c r="A21" s="151" t="s">
        <v>7</v>
      </c>
      <c r="B21" s="151" t="s">
        <v>8</v>
      </c>
      <c r="E21" s="151" t="s">
        <v>96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f>0.2%*Q11</f>
        <v>0.3803284528479517</v>
      </c>
      <c r="R21" s="152">
        <f aca="true" t="shared" si="1" ref="R21:W21">0.5%*R11</f>
        <v>0.9712291664158161</v>
      </c>
      <c r="S21" s="152">
        <f t="shared" si="1"/>
        <v>1.0038218074581555</v>
      </c>
      <c r="T21" s="152">
        <f t="shared" si="1"/>
        <v>1.052444951266843</v>
      </c>
      <c r="U21" s="152">
        <f t="shared" si="1"/>
        <v>1.0921757195112127</v>
      </c>
      <c r="V21" s="152">
        <f t="shared" si="1"/>
        <v>1.1409194901797504</v>
      </c>
      <c r="W21" s="152">
        <f t="shared" si="1"/>
        <v>1.1961473353737402</v>
      </c>
    </row>
    <row r="22" spans="6:18" ht="14.25"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spans="5:18" ht="14.25">
      <c r="E23" s="153" t="s">
        <v>35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5:18" ht="14.25">
      <c r="E24" s="15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5:23" ht="14.25">
      <c r="E25" s="143" t="s">
        <v>51</v>
      </c>
      <c r="F25" s="143"/>
      <c r="G25" s="154">
        <f aca="true" t="shared" si="2" ref="G25:W25">F17+G5+G16</f>
        <v>6.01485</v>
      </c>
      <c r="H25" s="154">
        <f t="shared" si="2"/>
        <v>5.852</v>
      </c>
      <c r="I25" s="154">
        <f t="shared" si="2"/>
        <v>6.136900000000001</v>
      </c>
      <c r="J25" s="154">
        <f t="shared" si="2"/>
        <v>6.9321</v>
      </c>
      <c r="K25" s="154">
        <f t="shared" si="2"/>
        <v>7.358499999999999</v>
      </c>
      <c r="L25" s="154">
        <f t="shared" si="2"/>
        <v>16.8198</v>
      </c>
      <c r="M25" s="154">
        <f t="shared" si="2"/>
        <v>1.58</v>
      </c>
      <c r="N25" s="154">
        <f t="shared" si="2"/>
        <v>2.09</v>
      </c>
      <c r="O25" s="154">
        <f t="shared" si="2"/>
        <v>1.58</v>
      </c>
      <c r="P25" s="154">
        <f t="shared" si="2"/>
        <v>2.58</v>
      </c>
      <c r="Q25" s="154">
        <f t="shared" si="2"/>
        <v>2.6249614748233094</v>
      </c>
      <c r="R25" s="154">
        <f t="shared" si="2"/>
        <v>0.9722738464605392</v>
      </c>
      <c r="S25" s="154">
        <f t="shared" si="2"/>
        <v>0.83059645474873</v>
      </c>
      <c r="T25" s="154">
        <f t="shared" si="2"/>
        <v>0.720739178657529</v>
      </c>
      <c r="U25" s="154">
        <f t="shared" si="2"/>
        <v>0.8281960762401221</v>
      </c>
      <c r="V25" s="154">
        <f t="shared" si="2"/>
        <v>0.764334949765196</v>
      </c>
      <c r="W25" s="154">
        <f t="shared" si="2"/>
        <v>0.7816802512692531</v>
      </c>
    </row>
    <row r="26" spans="5:23" ht="14.25">
      <c r="E26" s="143" t="s">
        <v>36</v>
      </c>
      <c r="F26" s="143"/>
      <c r="G26" s="144">
        <f>-(G6+G5)</f>
        <v>-9.8198</v>
      </c>
      <c r="H26" s="144">
        <f>-(H6+H5)</f>
        <v>-6.72916</v>
      </c>
      <c r="I26" s="144">
        <f aca="true" t="shared" si="3" ref="I26:W26">-(I6+I5)</f>
        <v>-10.888</v>
      </c>
      <c r="J26" s="144">
        <f t="shared" si="3"/>
        <v>-13.106178</v>
      </c>
      <c r="K26" s="144">
        <f t="shared" si="3"/>
        <v>-22.813</v>
      </c>
      <c r="L26" s="144">
        <f t="shared" si="3"/>
        <v>-31.11</v>
      </c>
      <c r="M26" s="144">
        <f t="shared" si="3"/>
        <v>-30.830000000000002</v>
      </c>
      <c r="N26" s="144">
        <f t="shared" si="3"/>
        <v>-34.642195</v>
      </c>
      <c r="O26" s="144">
        <f t="shared" si="3"/>
        <v>-0.58058800000001</v>
      </c>
      <c r="P26" s="144">
        <f t="shared" si="3"/>
        <v>-12.24064582097</v>
      </c>
      <c r="Q26" s="144">
        <f t="shared" si="3"/>
        <v>-19.77320692969435</v>
      </c>
      <c r="R26" s="144">
        <f t="shared" si="3"/>
        <v>-11.196288123914547</v>
      </c>
      <c r="S26" s="144">
        <f t="shared" si="3"/>
        <v>-7.849256574860489</v>
      </c>
      <c r="T26" s="144">
        <f t="shared" si="3"/>
        <v>-9.176726002733751</v>
      </c>
      <c r="U26" s="144">
        <f t="shared" si="3"/>
        <v>-9.457497701999575</v>
      </c>
      <c r="V26" s="144">
        <f t="shared" si="3"/>
        <v>-10.170187444208839</v>
      </c>
      <c r="W26" s="144">
        <f t="shared" si="3"/>
        <v>-12.630825806198954</v>
      </c>
    </row>
    <row r="27" spans="5:23" ht="14.25">
      <c r="E27" s="143" t="s">
        <v>33</v>
      </c>
      <c r="F27" s="143"/>
      <c r="G27" s="144">
        <f>G25+G26</f>
        <v>-3.8049500000000007</v>
      </c>
      <c r="H27" s="144">
        <f aca="true" t="shared" si="4" ref="H27:W27">H25+H26</f>
        <v>-0.8771599999999999</v>
      </c>
      <c r="I27" s="144">
        <f t="shared" si="4"/>
        <v>-4.751099999999999</v>
      </c>
      <c r="J27" s="144">
        <f t="shared" si="4"/>
        <v>-6.174078</v>
      </c>
      <c r="K27" s="144">
        <f t="shared" si="4"/>
        <v>-15.4545</v>
      </c>
      <c r="L27" s="144">
        <f t="shared" si="4"/>
        <v>-14.290199999999999</v>
      </c>
      <c r="M27" s="144">
        <f t="shared" si="4"/>
        <v>-29.25</v>
      </c>
      <c r="N27" s="144">
        <f t="shared" si="4"/>
        <v>-32.552195</v>
      </c>
      <c r="O27" s="144">
        <f t="shared" si="4"/>
        <v>0.9994119999999901</v>
      </c>
      <c r="P27" s="144">
        <f t="shared" si="4"/>
        <v>-9.66064582097</v>
      </c>
      <c r="Q27" s="144">
        <f t="shared" si="4"/>
        <v>-17.14824545487104</v>
      </c>
      <c r="R27" s="144">
        <f t="shared" si="4"/>
        <v>-10.224014277454009</v>
      </c>
      <c r="S27" s="144">
        <f t="shared" si="4"/>
        <v>-7.018660120111759</v>
      </c>
      <c r="T27" s="144">
        <f t="shared" si="4"/>
        <v>-8.455986824076222</v>
      </c>
      <c r="U27" s="144">
        <f t="shared" si="4"/>
        <v>-8.629301625759453</v>
      </c>
      <c r="V27" s="144">
        <f t="shared" si="4"/>
        <v>-9.405852494443643</v>
      </c>
      <c r="W27" s="144">
        <f t="shared" si="4"/>
        <v>-11.849145554929702</v>
      </c>
    </row>
    <row r="28" spans="5:23" ht="14.25">
      <c r="E28" s="143" t="s">
        <v>77</v>
      </c>
      <c r="F28" s="143"/>
      <c r="G28" s="144">
        <f aca="true" t="shared" si="5" ref="G28:W28">G17/G4*100</f>
        <v>1.1541341791110524</v>
      </c>
      <c r="H28" s="144">
        <f t="shared" si="5"/>
        <v>2.5920855048140625</v>
      </c>
      <c r="I28" s="144">
        <f t="shared" si="5"/>
        <v>0.9510514664006063</v>
      </c>
      <c r="J28" s="144">
        <f t="shared" si="5"/>
        <v>2.9260803812840837</v>
      </c>
      <c r="K28" s="144">
        <f t="shared" si="5"/>
        <v>10.410656119125175</v>
      </c>
      <c r="L28" s="144">
        <f t="shared" si="5"/>
        <v>1.247327156094086</v>
      </c>
      <c r="M28" s="144">
        <f t="shared" si="5"/>
        <v>10.87144089732528</v>
      </c>
      <c r="N28" s="144">
        <f t="shared" si="5"/>
        <v>2.0266846816416146</v>
      </c>
      <c r="O28" s="144">
        <f t="shared" si="5"/>
        <v>10.726161106939825</v>
      </c>
      <c r="P28" s="144">
        <f t="shared" si="5"/>
        <v>24.997139411863078</v>
      </c>
      <c r="Q28" s="144">
        <f t="shared" si="5"/>
        <v>0</v>
      </c>
      <c r="R28" s="144">
        <f t="shared" si="5"/>
        <v>0</v>
      </c>
      <c r="S28" s="144">
        <f t="shared" si="5"/>
        <v>0</v>
      </c>
      <c r="T28" s="144">
        <f t="shared" si="5"/>
        <v>0</v>
      </c>
      <c r="U28" s="144">
        <f t="shared" si="5"/>
        <v>0</v>
      </c>
      <c r="V28" s="144">
        <f t="shared" si="5"/>
        <v>0</v>
      </c>
      <c r="W28" s="144">
        <f t="shared" si="5"/>
        <v>0</v>
      </c>
    </row>
    <row r="29" spans="5:23" ht="14.25">
      <c r="E29" s="143" t="s">
        <v>78</v>
      </c>
      <c r="F29" s="143"/>
      <c r="G29" s="144">
        <f aca="true" t="shared" si="6" ref="G29:W29">(G4-G17)/G16</f>
        <v>7.374336559475491</v>
      </c>
      <c r="H29" s="144">
        <f t="shared" si="6"/>
        <v>6.849409937888198</v>
      </c>
      <c r="I29" s="144">
        <f t="shared" si="6"/>
        <v>6.6659942363112386</v>
      </c>
      <c r="J29" s="144">
        <f t="shared" si="6"/>
        <v>4.4878177966101696</v>
      </c>
      <c r="K29" s="144">
        <f t="shared" si="6"/>
        <v>3.025972495088409</v>
      </c>
      <c r="L29" s="144">
        <f t="shared" si="6"/>
        <v>0.43061383061383063</v>
      </c>
      <c r="M29" s="144">
        <f t="shared" si="6"/>
        <v>4.03515625</v>
      </c>
      <c r="N29" s="144">
        <f t="shared" si="6"/>
        <v>4.567716535433071</v>
      </c>
      <c r="O29" s="144">
        <f t="shared" si="6"/>
        <v>3.9356821705426355</v>
      </c>
      <c r="P29" s="144">
        <f t="shared" si="6"/>
        <v>2.2906720430107526</v>
      </c>
      <c r="Q29" s="144">
        <f t="shared" si="6"/>
        <v>4.707413488861203</v>
      </c>
      <c r="R29" s="144">
        <f t="shared" si="6"/>
        <v>5.766911709188877</v>
      </c>
      <c r="S29" s="144">
        <f t="shared" si="6"/>
        <v>6.869214411152182</v>
      </c>
      <c r="T29" s="144">
        <f t="shared" si="6"/>
        <v>8.167206678826544</v>
      </c>
      <c r="U29" s="144">
        <f t="shared" si="6"/>
        <v>7.025791999153939</v>
      </c>
      <c r="V29" s="144">
        <f t="shared" si="6"/>
        <v>7.702649223251674</v>
      </c>
      <c r="W29" s="144">
        <f t="shared" si="6"/>
        <v>7.390967662534409</v>
      </c>
    </row>
    <row r="30" spans="6:23" ht="14.25">
      <c r="F30" s="143"/>
      <c r="S30" s="144"/>
      <c r="T30" s="144"/>
      <c r="U30" s="144"/>
      <c r="V30" s="144"/>
      <c r="W30" s="144"/>
    </row>
    <row r="31" spans="6:23" ht="14.25">
      <c r="F31" s="143"/>
      <c r="S31" s="144"/>
      <c r="T31" s="144"/>
      <c r="U31" s="144"/>
      <c r="V31" s="144"/>
      <c r="W31" s="144"/>
    </row>
    <row r="32" spans="5:23" ht="14.25">
      <c r="E32" s="143" t="s">
        <v>49</v>
      </c>
      <c r="F32" s="155">
        <f>1/F14</f>
        <v>0.013277303114191445</v>
      </c>
      <c r="G32" s="155">
        <f>1/G14</f>
        <v>0.01295085151848734</v>
      </c>
      <c r="H32" s="155">
        <f aca="true" t="shared" si="7" ref="H32:S32">1/H14</f>
        <v>0.012549901546022372</v>
      </c>
      <c r="I32" s="155">
        <f t="shared" si="7"/>
        <v>0.01292073131339234</v>
      </c>
      <c r="J32" s="155">
        <f t="shared" si="7"/>
        <v>0.013876303852200714</v>
      </c>
      <c r="K32" s="155">
        <f t="shared" si="7"/>
        <v>0.013646975710771461</v>
      </c>
      <c r="L32" s="155">
        <f t="shared" si="7"/>
        <v>0.013765265966733475</v>
      </c>
      <c r="M32" s="155">
        <f t="shared" si="7"/>
        <v>0.014431597115989632</v>
      </c>
      <c r="N32" s="155">
        <f t="shared" si="7"/>
        <v>0.015483998835603287</v>
      </c>
      <c r="O32" s="155">
        <f t="shared" si="7"/>
        <v>0.013749314252951632</v>
      </c>
      <c r="P32" s="155">
        <f t="shared" si="7"/>
        <v>0.013343349741205731</v>
      </c>
      <c r="Q32" s="155">
        <f t="shared" si="7"/>
        <v>0.013754864923787732</v>
      </c>
      <c r="R32" s="155">
        <f>1/R14</f>
        <v>0.013432483442664792</v>
      </c>
      <c r="S32" s="155">
        <f t="shared" si="7"/>
        <v>0.013151901323431057</v>
      </c>
      <c r="T32" s="155">
        <f>1/T14</f>
        <v>0.012921105524218742</v>
      </c>
      <c r="U32" s="155">
        <f>1/U14</f>
        <v>0.012699356444842571</v>
      </c>
      <c r="V32" s="155">
        <f>1/V14</f>
        <v>0.012485397729226834</v>
      </c>
      <c r="W32" s="155">
        <f>1/W14</f>
        <v>0.01227669393237644</v>
      </c>
    </row>
    <row r="33" spans="5:23" ht="14.25">
      <c r="E33" s="143" t="s">
        <v>52</v>
      </c>
      <c r="F33" s="143"/>
      <c r="G33" s="154">
        <f>(G32/F32-1)*100</f>
        <v>-2.458719160784828</v>
      </c>
      <c r="H33" s="154">
        <f aca="true" t="shared" si="8" ref="H33:W33">(H32/G32-1)*100</f>
        <v>-3.0959352123882455</v>
      </c>
      <c r="I33" s="154">
        <f t="shared" si="8"/>
        <v>2.954842044059691</v>
      </c>
      <c r="J33" s="154">
        <f t="shared" si="8"/>
        <v>7.3956536641074155</v>
      </c>
      <c r="K33" s="154">
        <f t="shared" si="8"/>
        <v>-1.652660131054151</v>
      </c>
      <c r="L33" s="154">
        <f t="shared" si="8"/>
        <v>0.8667873268701332</v>
      </c>
      <c r="M33" s="154">
        <f t="shared" si="8"/>
        <v>4.840670357307153</v>
      </c>
      <c r="N33" s="154">
        <f t="shared" si="8"/>
        <v>7.292344091615721</v>
      </c>
      <c r="O33" s="154">
        <f t="shared" si="8"/>
        <v>-11.203078746447526</v>
      </c>
      <c r="P33" s="154">
        <f t="shared" si="8"/>
        <v>-2.9526164307339897</v>
      </c>
      <c r="Q33" s="154">
        <f t="shared" si="8"/>
        <v>3.084047038887072</v>
      </c>
      <c r="R33" s="154">
        <f t="shared" si="8"/>
        <v>-2.3437633368933453</v>
      </c>
      <c r="S33" s="154">
        <f t="shared" si="8"/>
        <v>-2.088832794258577</v>
      </c>
      <c r="T33" s="154">
        <f t="shared" si="8"/>
        <v>-1.7548474059878805</v>
      </c>
      <c r="U33" s="154">
        <f t="shared" si="8"/>
        <v>-1.716177295824528</v>
      </c>
      <c r="V33" s="154">
        <f t="shared" si="8"/>
        <v>-1.6847996711095492</v>
      </c>
      <c r="W33" s="154">
        <f t="shared" si="8"/>
        <v>-1.6715830875122517</v>
      </c>
    </row>
    <row r="34" spans="5:23" ht="14.25">
      <c r="E34" s="143" t="s">
        <v>50</v>
      </c>
      <c r="F34" s="143"/>
      <c r="G34" s="154">
        <f>(G15/F15-1)*100</f>
        <v>-0.18297643460591928</v>
      </c>
      <c r="H34" s="154">
        <f aca="true" t="shared" si="9" ref="H34:W34">(H15/G15-1)*100</f>
        <v>2.1923014274317643</v>
      </c>
      <c r="I34" s="154">
        <f t="shared" si="9"/>
        <v>8.63366592530288</v>
      </c>
      <c r="J34" s="154">
        <f t="shared" si="9"/>
        <v>11.309193604047806</v>
      </c>
      <c r="K34" s="154">
        <f t="shared" si="9"/>
        <v>17.01176675561664</v>
      </c>
      <c r="L34" s="154">
        <f t="shared" si="9"/>
        <v>10.443828491256802</v>
      </c>
      <c r="M34" s="154">
        <f t="shared" si="9"/>
        <v>6.038842699668545</v>
      </c>
      <c r="N34" s="154">
        <f t="shared" si="9"/>
        <v>16.37480674845806</v>
      </c>
      <c r="O34" s="154">
        <f t="shared" si="9"/>
        <v>-11.674280643559175</v>
      </c>
      <c r="P34" s="154">
        <f t="shared" si="9"/>
        <v>16.26184179685266</v>
      </c>
      <c r="Q34" s="154">
        <f t="shared" si="9"/>
        <v>11.97180418387267</v>
      </c>
      <c r="R34" s="154">
        <f t="shared" si="9"/>
        <v>1.4916035372531944</v>
      </c>
      <c r="S34" s="154">
        <f t="shared" si="9"/>
        <v>1.9251208601722025</v>
      </c>
      <c r="T34" s="154">
        <f t="shared" si="9"/>
        <v>3.0981221359417166</v>
      </c>
      <c r="U34" s="154">
        <f t="shared" si="9"/>
        <v>1.9623466631461417</v>
      </c>
      <c r="V34" s="154">
        <f t="shared" si="9"/>
        <v>1.9106324312814449</v>
      </c>
      <c r="W34" s="154">
        <f t="shared" si="9"/>
        <v>2.197196160975312</v>
      </c>
    </row>
    <row r="35" spans="6:18" ht="14.25"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5:23" ht="14.25">
      <c r="E36" s="143" t="s">
        <v>100</v>
      </c>
      <c r="F36" s="143"/>
      <c r="G36" s="156">
        <f aca="true" t="shared" si="10" ref="G36:W36">F21/F4*100</f>
        <v>0</v>
      </c>
      <c r="H36" s="156">
        <f t="shared" si="10"/>
        <v>0</v>
      </c>
      <c r="I36" s="156">
        <f t="shared" si="10"/>
        <v>0</v>
      </c>
      <c r="J36" s="156">
        <f t="shared" si="10"/>
        <v>0</v>
      </c>
      <c r="K36" s="156">
        <f t="shared" si="10"/>
        <v>0</v>
      </c>
      <c r="L36" s="156">
        <f t="shared" si="10"/>
        <v>0</v>
      </c>
      <c r="M36" s="156">
        <f t="shared" si="10"/>
        <v>0</v>
      </c>
      <c r="N36" s="156">
        <f t="shared" si="10"/>
        <v>0</v>
      </c>
      <c r="O36" s="156">
        <f t="shared" si="10"/>
        <v>0</v>
      </c>
      <c r="P36" s="156">
        <f t="shared" si="10"/>
        <v>0</v>
      </c>
      <c r="Q36" s="156">
        <f t="shared" si="10"/>
        <v>0</v>
      </c>
      <c r="R36" s="156">
        <f t="shared" si="10"/>
        <v>7.475606281334154</v>
      </c>
      <c r="S36" s="156">
        <f t="shared" si="10"/>
        <v>19.87796246017402</v>
      </c>
      <c r="T36" s="156">
        <f t="shared" si="10"/>
        <v>20.630297325935317</v>
      </c>
      <c r="U36" s="156">
        <f t="shared" si="10"/>
        <v>21.53218168618941</v>
      </c>
      <c r="V36" s="156">
        <f t="shared" si="10"/>
        <v>22.645575274882486</v>
      </c>
      <c r="W36" s="156">
        <f t="shared" si="10"/>
        <v>23.744641768070835</v>
      </c>
    </row>
    <row r="37" spans="6:23" ht="14.25">
      <c r="F37" s="143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</row>
    <row r="38" spans="1:23" ht="14.25">
      <c r="A38" s="157"/>
      <c r="B38" s="157"/>
      <c r="C38" s="157"/>
      <c r="D38" s="157"/>
      <c r="E38" s="157"/>
      <c r="F38" s="157"/>
      <c r="G38" s="158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</row>
    <row r="39" spans="1:23" ht="14.25">
      <c r="A39" s="157"/>
      <c r="B39" s="157"/>
      <c r="C39" s="157"/>
      <c r="D39" s="157"/>
      <c r="E39" s="157"/>
      <c r="F39" s="157"/>
      <c r="G39" s="158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</row>
    <row r="40" spans="4:18" ht="14.25">
      <c r="D40" s="160"/>
      <c r="E40" s="160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6:18" ht="14.25"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6:18" ht="14.25"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6:18" ht="14.25"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</row>
    <row r="44" spans="6:18" ht="14.25"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</row>
    <row r="45" spans="6:18" ht="14.25"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</row>
    <row r="46" spans="6:18" ht="14.25"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</row>
    <row r="47" spans="6:18" ht="14.25"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</row>
    <row r="48" spans="6:18" ht="14.25"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</row>
    <row r="49" spans="6:18" ht="14.25"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</row>
    <row r="50" spans="6:18" ht="14.25"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</row>
    <row r="51" spans="6:18" ht="14.25"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</row>
    <row r="52" spans="6:18" ht="14.25"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</row>
    <row r="53" spans="6:18" ht="14.25"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</row>
    <row r="54" spans="6:18" ht="14.25"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</row>
    <row r="55" spans="6:18" ht="14.25"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</row>
    <row r="56" spans="6:18" ht="14.25"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</row>
    <row r="57" spans="6:18" ht="14.25"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</row>
    <row r="58" spans="6:18" ht="14.25"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</row>
    <row r="59" spans="6:18" ht="14.25"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</row>
    <row r="60" spans="6:18" ht="14.25"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</row>
    <row r="61" spans="6:18" ht="14.25"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</row>
    <row r="62" spans="6:18" ht="14.25"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</row>
    <row r="63" spans="6:18" ht="14.25"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</row>
    <row r="64" spans="6:18" ht="14.25"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</row>
    <row r="65" spans="6:18" ht="14.25"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</row>
    <row r="66" spans="6:18" ht="14.25"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</row>
    <row r="67" spans="6:18" ht="14.25"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</row>
    <row r="68" spans="6:18" ht="14.25"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</row>
    <row r="69" spans="6:18" ht="14.25"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</row>
    <row r="70" spans="6:18" ht="14.25"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</row>
    <row r="71" spans="6:18" ht="14.25"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</row>
    <row r="72" spans="6:18" ht="14.25"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</row>
    <row r="73" spans="6:18" ht="14.25"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</row>
    <row r="74" spans="6:18" ht="14.25"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</row>
    <row r="75" spans="6:18" ht="14.25"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6:18" ht="14.25"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</row>
    <row r="77" spans="6:18" ht="14.25"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</row>
    <row r="78" spans="6:18" ht="14.25"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</row>
    <row r="79" spans="6:18" ht="14.25"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</row>
    <row r="80" spans="6:18" ht="14.25"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</row>
    <row r="81" spans="6:18" ht="14.25"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</row>
    <row r="82" spans="6:18" ht="14.25"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</row>
    <row r="83" spans="6:18" ht="14.25"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</row>
    <row r="84" spans="6:18" ht="14.25"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</row>
    <row r="85" spans="6:18" ht="14.25"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</row>
    <row r="86" spans="6:18" ht="14.25"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</row>
    <row r="87" spans="6:18" ht="14.25"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</row>
    <row r="88" spans="6:18" ht="14.25"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</row>
    <row r="89" spans="6:18" ht="14.25"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</row>
    <row r="90" spans="6:18" ht="14.25"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</row>
    <row r="91" spans="6:18" ht="14.25"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</row>
    <row r="92" spans="6:18" ht="14.25"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</row>
    <row r="93" spans="6:18" ht="14.25"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</row>
    <row r="94" spans="6:18" ht="14.25"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</row>
    <row r="95" spans="6:18" ht="14.25"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</row>
    <row r="96" spans="6:18" ht="14.25"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</row>
    <row r="97" spans="6:18" ht="14.25"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</row>
    <row r="98" spans="6:18" ht="14.25"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</row>
    <row r="99" spans="6:18" ht="14.25"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</row>
    <row r="100" spans="6:18" ht="14.25"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</row>
    <row r="101" spans="6:18" ht="14.25"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</row>
    <row r="102" spans="6:18" ht="14.25"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</row>
    <row r="103" spans="6:18" ht="14.25"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</row>
    <row r="104" spans="6:18" ht="14.25"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</row>
    <row r="105" spans="6:18" ht="14.25"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</row>
    <row r="106" spans="6:18" ht="14.25"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</row>
    <row r="107" spans="6:18" ht="14.25"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</row>
    <row r="108" spans="6:18" ht="14.25"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</row>
    <row r="109" spans="6:18" ht="14.25"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</row>
    <row r="110" spans="6:18" ht="14.25"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</row>
    <row r="111" spans="6:18" ht="14.25"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</row>
    <row r="112" spans="6:18" ht="14.25"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</row>
    <row r="113" spans="6:18" ht="14.25"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</row>
    <row r="114" spans="6:18" ht="14.25"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</row>
    <row r="115" spans="6:18" ht="14.25"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</row>
    <row r="116" spans="6:18" ht="14.25"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</row>
    <row r="117" spans="6:18" ht="14.25"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</row>
    <row r="118" spans="6:18" ht="14.25"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</row>
    <row r="119" spans="6:18" ht="14.25"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</row>
    <row r="120" spans="6:18" ht="14.25"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</row>
    <row r="121" spans="6:18" ht="14.25"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</row>
    <row r="122" spans="6:18" ht="14.25"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</row>
    <row r="123" spans="6:18" ht="14.25"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</row>
    <row r="124" spans="6:18" ht="14.25"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</row>
    <row r="125" spans="6:18" ht="14.25"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</row>
    <row r="126" spans="6:18" ht="14.25"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</row>
    <row r="127" spans="6:18" ht="14.25"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</row>
    <row r="128" spans="6:18" ht="14.25"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</row>
  </sheetData>
  <sheetProtection/>
  <dataValidations count="1">
    <dataValidation type="list" allowBlank="1" showInputMessage="1" showErrorMessage="1" sqref="A1">
      <formula1>List2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rgb="FF00FFFF"/>
  </sheetPr>
  <dimension ref="A1:AB66"/>
  <sheetViews>
    <sheetView zoomScalePageLayoutView="0" workbookViewId="0" topLeftCell="A1">
      <selection activeCell="S6" sqref="S6"/>
    </sheetView>
  </sheetViews>
  <sheetFormatPr defaultColWidth="9.33203125" defaultRowHeight="12.75"/>
  <cols>
    <col min="1" max="1" width="4.5" style="0" customWidth="1"/>
    <col min="2" max="2" width="64.33203125" style="0" customWidth="1"/>
    <col min="3" max="3" width="8.83203125" style="0" hidden="1" customWidth="1"/>
    <col min="4" max="5" width="7" style="0" hidden="1" customWidth="1"/>
    <col min="6" max="6" width="7" style="18" hidden="1" customWidth="1"/>
    <col min="7" max="7" width="8.33203125" style="18" hidden="1" customWidth="1"/>
    <col min="8" max="8" width="7" style="18" hidden="1" customWidth="1"/>
    <col min="9" max="10" width="12" style="18" customWidth="1"/>
    <col min="11" max="24" width="12" style="42" customWidth="1"/>
    <col min="25" max="25" width="12" style="42" hidden="1" customWidth="1"/>
    <col min="26" max="26" width="1.5" style="42" customWidth="1"/>
    <col min="27" max="27" width="17.83203125" style="0" customWidth="1"/>
  </cols>
  <sheetData>
    <row r="1" spans="2:27" ht="14.25" customHeight="1">
      <c r="B1" s="135" t="str">
        <f>"Table 1. Country: External Debt Sustainability Framework, "&amp;I6&amp;"-"&amp;X6</f>
        <v>Table 1. Country: External Debt Sustainability Framework, 2010-2020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2:27" ht="14.25" customHeight="1">
      <c r="B2" s="135" t="s">
        <v>27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0:27" ht="8.25" customHeight="1">
      <c r="J3" s="28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2:27" ht="5.25" customHeight="1">
      <c r="B4" s="2"/>
      <c r="C4" s="2"/>
      <c r="D4" s="2"/>
      <c r="E4" s="2"/>
      <c r="F4" s="86"/>
      <c r="G4" s="86"/>
      <c r="H4" s="86"/>
      <c r="I4" s="86"/>
      <c r="J4" s="86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</row>
    <row r="5" spans="2:27" ht="12.75">
      <c r="B5" s="17"/>
      <c r="C5" s="17"/>
      <c r="D5" s="17"/>
      <c r="E5" s="17"/>
      <c r="F5" s="133" t="s">
        <v>24</v>
      </c>
      <c r="G5" s="133"/>
      <c r="H5" s="133"/>
      <c r="I5" s="133"/>
      <c r="J5" s="133"/>
      <c r="K5" s="133"/>
      <c r="L5" s="133"/>
      <c r="M5" s="133"/>
      <c r="N5" s="88"/>
      <c r="O5" s="88"/>
      <c r="P5" s="88"/>
      <c r="Q5" s="88"/>
      <c r="R5" s="88"/>
      <c r="S5" s="89" t="s">
        <v>21</v>
      </c>
      <c r="T5" s="89"/>
      <c r="U5" s="89"/>
      <c r="V5" s="89"/>
      <c r="W5" s="89"/>
      <c r="X5" s="89"/>
      <c r="Y5" s="89"/>
      <c r="Z5" s="89"/>
      <c r="AA5" s="89"/>
    </row>
    <row r="6" spans="2:27" ht="12.75">
      <c r="B6" s="4"/>
      <c r="C6" s="33">
        <f aca="true" t="shared" si="0" ref="C6:L6">D6-1</f>
        <v>2004</v>
      </c>
      <c r="D6" s="33">
        <f t="shared" si="0"/>
        <v>2005</v>
      </c>
      <c r="E6" s="33">
        <f t="shared" si="0"/>
        <v>2006</v>
      </c>
      <c r="F6" s="90">
        <f t="shared" si="0"/>
        <v>2007</v>
      </c>
      <c r="G6" s="90">
        <f t="shared" si="0"/>
        <v>2008</v>
      </c>
      <c r="H6" s="90">
        <f t="shared" si="0"/>
        <v>2009</v>
      </c>
      <c r="I6" s="90">
        <f t="shared" si="0"/>
        <v>2010</v>
      </c>
      <c r="J6" s="90">
        <f t="shared" si="0"/>
        <v>2011</v>
      </c>
      <c r="K6" s="90">
        <f t="shared" si="0"/>
        <v>2012</v>
      </c>
      <c r="L6" s="90">
        <f t="shared" si="0"/>
        <v>2013</v>
      </c>
      <c r="M6" s="90">
        <f>S6-1</f>
        <v>2014</v>
      </c>
      <c r="N6" s="90"/>
      <c r="O6" s="90"/>
      <c r="P6" s="90"/>
      <c r="Q6" s="90"/>
      <c r="R6" s="90"/>
      <c r="S6" s="90" t="str">
        <f>Table!S8</f>
        <v>2015</v>
      </c>
      <c r="T6" s="90">
        <f>S6+1</f>
        <v>2016</v>
      </c>
      <c r="U6" s="90">
        <f>T6+1</f>
        <v>2017</v>
      </c>
      <c r="V6" s="90">
        <f>U6+1</f>
        <v>2018</v>
      </c>
      <c r="W6" s="90">
        <f>V6+1</f>
        <v>2019</v>
      </c>
      <c r="X6" s="90">
        <f>W6+1</f>
        <v>2020</v>
      </c>
      <c r="Y6" s="90"/>
      <c r="Z6" s="90"/>
      <c r="AA6" s="91" t="s">
        <v>113</v>
      </c>
    </row>
    <row r="7" spans="2:27" ht="12.75">
      <c r="B7" s="5"/>
      <c r="C7" s="5"/>
      <c r="D7" s="23"/>
      <c r="E7" s="23"/>
      <c r="F7" s="93"/>
      <c r="G7" s="93"/>
      <c r="H7" s="93"/>
      <c r="I7" s="93"/>
      <c r="J7" s="93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1" t="s">
        <v>114</v>
      </c>
    </row>
    <row r="8" spans="3:27" ht="12.75">
      <c r="C8" s="61"/>
      <c r="D8" s="61"/>
      <c r="E8" s="6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134"/>
      <c r="T8" s="134"/>
      <c r="U8" s="134"/>
      <c r="V8" s="134"/>
      <c r="W8" s="134"/>
      <c r="X8" s="134"/>
      <c r="Y8" s="91"/>
      <c r="Z8" s="91"/>
      <c r="AA8" s="91" t="s">
        <v>130</v>
      </c>
    </row>
    <row r="9" spans="1:27" ht="12.75">
      <c r="A9" s="82">
        <f>A27+1</f>
        <v>1</v>
      </c>
      <c r="B9" s="95" t="s">
        <v>166</v>
      </c>
      <c r="C9" s="18">
        <f>Input_external!G4/Table_SR!C36*100</f>
        <v>41.467145679070754</v>
      </c>
      <c r="D9" s="18">
        <f>Input_external!H4/Table_SR!D36*100</f>
        <v>39.890279910674806</v>
      </c>
      <c r="E9" s="18">
        <f>Input_external!I4/Table_SR!E36*100</f>
        <v>34.41184194543343</v>
      </c>
      <c r="F9" s="83">
        <f>Input_external!J4/Table_SR!F36*100</f>
        <v>25.56845863291222</v>
      </c>
      <c r="G9" s="83">
        <f>Input_external!K4/Table_SR!G36*100</f>
        <v>16.655644043400844</v>
      </c>
      <c r="H9" s="83">
        <f>Input_external!L4/Table_SR!H36*100</f>
        <v>4.78478995297671</v>
      </c>
      <c r="I9" s="83">
        <f>Input_external!M4/Table_SR!I36*100</f>
        <v>4.314859534503879</v>
      </c>
      <c r="J9" s="83">
        <f>Input_external!N4/Table_SR!J36*100</f>
        <v>3.4481060927535223</v>
      </c>
      <c r="K9" s="83">
        <f>Input_external!O4/Table_SR!K36*100</f>
        <v>4.122122200101253</v>
      </c>
      <c r="L9" s="83">
        <f>Input_external!P4/Table_SR!L36*100</f>
        <v>3.533196087813501</v>
      </c>
      <c r="M9" s="83">
        <f>Input_external!Q4/Table_SR!M36*100</f>
        <v>2.6753682908552867</v>
      </c>
      <c r="N9" s="83"/>
      <c r="O9" s="83"/>
      <c r="P9" s="83"/>
      <c r="Q9" s="83"/>
      <c r="R9" s="83"/>
      <c r="S9" s="84">
        <f>Table!S12</f>
        <v>2.456394533865412</v>
      </c>
      <c r="T9" s="84">
        <f>Table!T12</f>
        <v>2.317377196639941</v>
      </c>
      <c r="U9" s="84">
        <f>Table!U12</f>
        <v>2.181349788458221</v>
      </c>
      <c r="V9" s="84">
        <f>Table!V12</f>
        <v>2.03850616806054</v>
      </c>
      <c r="W9" s="84">
        <f>Table!W12</f>
        <v>1.9113949499584706</v>
      </c>
      <c r="X9" s="84">
        <f>Table!X12</f>
        <v>1.7710164824675605</v>
      </c>
      <c r="Y9" s="96"/>
      <c r="Z9" s="84"/>
      <c r="AA9" s="97">
        <f>-Y13</f>
        <v>-0.9074798805562725</v>
      </c>
    </row>
    <row r="10" spans="1:27" ht="12.75">
      <c r="A10" s="82"/>
      <c r="B10" s="82"/>
      <c r="C10" s="18"/>
      <c r="D10" s="18"/>
      <c r="E10" s="18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4"/>
      <c r="T10" s="84"/>
      <c r="U10" s="84"/>
      <c r="V10" s="84"/>
      <c r="W10" s="84"/>
      <c r="X10" s="84"/>
      <c r="Y10" s="96"/>
      <c r="Z10" s="84"/>
      <c r="AA10" s="98"/>
    </row>
    <row r="11" spans="1:27" ht="12.75">
      <c r="A11" s="82">
        <f>A9+1</f>
        <v>2</v>
      </c>
      <c r="B11" s="82" t="s">
        <v>29</v>
      </c>
      <c r="C11" s="18"/>
      <c r="D11" s="18">
        <f aca="true" t="shared" si="1" ref="D11:M11">(D9-C9)</f>
        <v>-1.5768657683959475</v>
      </c>
      <c r="E11" s="18">
        <f t="shared" si="1"/>
        <v>-5.478437965241376</v>
      </c>
      <c r="F11" s="83">
        <f t="shared" si="1"/>
        <v>-8.843383312521212</v>
      </c>
      <c r="G11" s="83">
        <f t="shared" si="1"/>
        <v>-8.912814589511374</v>
      </c>
      <c r="H11" s="83">
        <f t="shared" si="1"/>
        <v>-11.870854090424135</v>
      </c>
      <c r="I11" s="83">
        <f t="shared" si="1"/>
        <v>-0.46993041847283124</v>
      </c>
      <c r="J11" s="83">
        <f t="shared" si="1"/>
        <v>-0.8667534417503564</v>
      </c>
      <c r="K11" s="83">
        <f t="shared" si="1"/>
        <v>0.6740161073477307</v>
      </c>
      <c r="L11" s="83">
        <f t="shared" si="1"/>
        <v>-0.5889261122877518</v>
      </c>
      <c r="M11" s="83">
        <f t="shared" si="1"/>
        <v>-0.8578277969582144</v>
      </c>
      <c r="N11" s="83"/>
      <c r="O11" s="83"/>
      <c r="P11" s="83"/>
      <c r="Q11" s="83"/>
      <c r="R11" s="83"/>
      <c r="S11" s="83">
        <f>(S9-M9)</f>
        <v>-0.21897375698987487</v>
      </c>
      <c r="T11" s="83">
        <f>(T9-S9)</f>
        <v>-0.13901733722547105</v>
      </c>
      <c r="U11" s="83">
        <f>(U9-T9)</f>
        <v>-0.13602740818171988</v>
      </c>
      <c r="V11" s="83">
        <f>(V9-U9)</f>
        <v>-0.14284362039768084</v>
      </c>
      <c r="W11" s="83">
        <f>(W9-V9)</f>
        <v>-0.1271112181020695</v>
      </c>
      <c r="X11" s="83">
        <f>(X9-W9)</f>
        <v>-0.1403784674909101</v>
      </c>
      <c r="Y11" s="83">
        <f>Y12+Y25</f>
        <v>5.551115123125783E-17</v>
      </c>
      <c r="Z11" s="83"/>
      <c r="AA11" s="98"/>
    </row>
    <row r="12" spans="1:27" ht="12.75">
      <c r="A12" s="82">
        <f aca="true" t="shared" si="2" ref="A12:A17">A11+1</f>
        <v>3</v>
      </c>
      <c r="B12" s="82" t="s">
        <v>117</v>
      </c>
      <c r="C12" s="18"/>
      <c r="D12" s="18">
        <f aca="true" t="shared" si="3" ref="D12:M12">D13+D17+D20</f>
        <v>-10.861741555607416</v>
      </c>
      <c r="E12" s="18">
        <f t="shared" si="3"/>
        <v>-20.418857295820366</v>
      </c>
      <c r="F12" s="83">
        <f t="shared" si="3"/>
        <v>-20.799872301568897</v>
      </c>
      <c r="G12" s="83">
        <f t="shared" si="3"/>
        <v>-25.977293078370288</v>
      </c>
      <c r="H12" s="83">
        <f t="shared" si="3"/>
        <v>-28.181087839612378</v>
      </c>
      <c r="I12" s="83">
        <f t="shared" si="3"/>
        <v>-24.41051344054414</v>
      </c>
      <c r="J12" s="83">
        <f t="shared" si="3"/>
        <v>-22.453490315061558</v>
      </c>
      <c r="K12" s="83">
        <f t="shared" si="3"/>
        <v>-1.2950664132288616</v>
      </c>
      <c r="L12" s="83">
        <f t="shared" si="3"/>
        <v>-9.31160417432428</v>
      </c>
      <c r="M12" s="83">
        <f t="shared" si="3"/>
        <v>-11.759602360374313</v>
      </c>
      <c r="N12" s="83"/>
      <c r="O12" s="83"/>
      <c r="P12" s="83"/>
      <c r="Q12" s="83"/>
      <c r="R12" s="83"/>
      <c r="S12" s="83">
        <f aca="true" t="shared" si="4" ref="S12:Y12">S13+S17+S20</f>
        <v>-6.4882089111519985</v>
      </c>
      <c r="T12" s="83">
        <f t="shared" si="4"/>
        <v>-4.730815473077648</v>
      </c>
      <c r="U12" s="83">
        <f t="shared" si="4"/>
        <v>-5.041185349696838</v>
      </c>
      <c r="V12" s="83">
        <f t="shared" si="4"/>
        <v>-4.904491731936478</v>
      </c>
      <c r="W12" s="83">
        <f t="shared" si="4"/>
        <v>-4.930085158237624</v>
      </c>
      <c r="X12" s="83">
        <f t="shared" si="4"/>
        <v>-5.605842564626036</v>
      </c>
      <c r="Y12" s="83">
        <f t="shared" si="4"/>
        <v>5.551115123125783E-17</v>
      </c>
      <c r="Z12" s="83"/>
      <c r="AA12" s="98"/>
    </row>
    <row r="13" spans="1:27" s="25" customFormat="1" ht="12.75">
      <c r="A13" s="82">
        <f t="shared" si="2"/>
        <v>4</v>
      </c>
      <c r="B13" s="99" t="s">
        <v>40</v>
      </c>
      <c r="C13" s="18"/>
      <c r="D13" s="18">
        <f>Input_external!H26/Table_SR!D36*100</f>
        <v>-11.85531648987353</v>
      </c>
      <c r="E13" s="18">
        <f>Input_external!I26/Table_SR!E36*100</f>
        <v>-16.043957123545873</v>
      </c>
      <c r="F13" s="83">
        <f>Input_external!J26/Table_SR!F36*100</f>
        <v>-15.356985015745572</v>
      </c>
      <c r="G13" s="83">
        <f>Input_external!K26/Table_SR!G36*100</f>
        <v>-22.10128010482221</v>
      </c>
      <c r="H13" s="83">
        <f>Input_external!L26/Table_SR!H36*100</f>
        <v>-26.5243790871535</v>
      </c>
      <c r="I13" s="83">
        <f>Input_external!M26/Table_SR!I36*100</f>
        <v>-22.955499473469303</v>
      </c>
      <c r="J13" s="83">
        <f>Input_external!N26/Table_SR!J36*100</f>
        <v>-20.173950961975272</v>
      </c>
      <c r="K13" s="83">
        <f>Input_external!O26/Table_SR!K36*100</f>
        <v>-0.4208268083538204</v>
      </c>
      <c r="L13" s="83">
        <f>Input_external!P26/Table_SR!L36*100</f>
        <v>-7.613319237580539</v>
      </c>
      <c r="M13" s="83">
        <f>Input_external!Q26/Table_SR!M36*100</f>
        <v>-10.397963540003312</v>
      </c>
      <c r="N13" s="83"/>
      <c r="O13" s="83"/>
      <c r="P13" s="83"/>
      <c r="Q13" s="83"/>
      <c r="R13" s="83"/>
      <c r="S13" s="83">
        <f>Table!S16</f>
        <v>-5.628884513488823</v>
      </c>
      <c r="T13" s="83">
        <f>Table!T16</f>
        <v>-3.7382996960749435</v>
      </c>
      <c r="U13" s="83">
        <f>Table!U16</f>
        <v>-4.095450899101573</v>
      </c>
      <c r="V13" s="83">
        <f>Table!V16</f>
        <v>-3.9974138665881767</v>
      </c>
      <c r="W13" s="83">
        <f>Table!W16</f>
        <v>-4.045665893725947</v>
      </c>
      <c r="X13" s="83">
        <f>Table!X16</f>
        <v>-4.71240026515964</v>
      </c>
      <c r="Y13" s="83">
        <f>-(Y17+Y20)</f>
        <v>0.9074798805562725</v>
      </c>
      <c r="Z13" s="83"/>
      <c r="AA13" s="100"/>
    </row>
    <row r="14" spans="1:27" ht="12.75">
      <c r="A14" s="82">
        <f t="shared" si="2"/>
        <v>5</v>
      </c>
      <c r="B14" s="101" t="s">
        <v>66</v>
      </c>
      <c r="C14" s="42"/>
      <c r="D14" s="42">
        <f aca="true" t="shared" si="5" ref="D14:M14">D16-D15</f>
        <v>-9.723559635712395</v>
      </c>
      <c r="E14" s="42">
        <f t="shared" si="5"/>
        <v>-14.378851360356414</v>
      </c>
      <c r="F14" s="102">
        <f t="shared" si="5"/>
        <v>-14.361009128390478</v>
      </c>
      <c r="G14" s="102">
        <f t="shared" si="5"/>
        <v>-23.44791488962486</v>
      </c>
      <c r="H14" s="102">
        <f t="shared" si="5"/>
        <v>-27.163828920498567</v>
      </c>
      <c r="I14" s="102">
        <f t="shared" si="5"/>
        <v>-22.486412069373102</v>
      </c>
      <c r="J14" s="102">
        <f t="shared" si="5"/>
        <v>-19.224717229296974</v>
      </c>
      <c r="K14" s="102">
        <f t="shared" si="5"/>
        <v>0.6591678598914399</v>
      </c>
      <c r="L14" s="102">
        <f t="shared" si="5"/>
        <v>-6.151688824447941</v>
      </c>
      <c r="M14" s="102">
        <f t="shared" si="5"/>
        <v>-10.657318407381744</v>
      </c>
      <c r="N14" s="102"/>
      <c r="O14" s="102"/>
      <c r="P14" s="102"/>
      <c r="Q14" s="102"/>
      <c r="R14" s="102"/>
      <c r="S14" s="83">
        <f>Table!S17</f>
        <v>-6.516428195806682</v>
      </c>
      <c r="T14" s="83">
        <f>Table!T17</f>
        <v>-4.659491415029947</v>
      </c>
      <c r="U14" s="83">
        <f>Table!U17</f>
        <v>-4.5175079764224755</v>
      </c>
      <c r="V14" s="83">
        <f>Table!V17</f>
        <v>-3.932055662603137</v>
      </c>
      <c r="W14" s="83">
        <f>Table!W17</f>
        <v>-3.522798361932427</v>
      </c>
      <c r="X14" s="83">
        <f>Table!X17</f>
        <v>-3.038259989388113</v>
      </c>
      <c r="Y14" s="102"/>
      <c r="Z14" s="102"/>
      <c r="AA14" s="98"/>
    </row>
    <row r="15" spans="1:27" ht="12.75">
      <c r="A15" s="82">
        <f t="shared" si="2"/>
        <v>6</v>
      </c>
      <c r="B15" s="103" t="s">
        <v>67</v>
      </c>
      <c r="C15" s="18">
        <f>Input_external!G7/Table_SR!C36*100</f>
        <v>36.53660871519481</v>
      </c>
      <c r="D15" s="18">
        <f>Input_external!H7/Table_SR!D36*100</f>
        <v>35.25178840992306</v>
      </c>
      <c r="E15" s="18">
        <f>Input_external!I7/Table_SR!E36*100</f>
        <v>38.35637435028463</v>
      </c>
      <c r="F15" s="83">
        <f>Input_external!J7/Table_SR!F36*100</f>
        <v>39.92126560693624</v>
      </c>
      <c r="G15" s="83">
        <f>Input_external!K7/Table_SR!G36*100</f>
        <v>47.31628984874926</v>
      </c>
      <c r="H15" s="83">
        <f>Input_external!L7/Table_SR!H36*100</f>
        <v>48.87101926311921</v>
      </c>
      <c r="I15" s="83">
        <f>Input_external!M7/Table_SR!I36*100</f>
        <v>47.266140336549824</v>
      </c>
      <c r="J15" s="83">
        <f>Input_external!N7/Table_SR!J36*100</f>
        <v>47.800729046796604</v>
      </c>
      <c r="K15" s="83">
        <f>Input_external!O7/Table_SR!K36*100</f>
        <v>34.91542161492573</v>
      </c>
      <c r="L15" s="83">
        <f>Input_external!P7/Table_SR!L36*100</f>
        <v>37.74150950440462</v>
      </c>
      <c r="M15" s="83">
        <f>Input_external!Q7/Table_SR!M36*100</f>
        <v>40.390721510732135</v>
      </c>
      <c r="N15" s="83"/>
      <c r="O15" s="83"/>
      <c r="P15" s="83"/>
      <c r="Q15" s="83"/>
      <c r="R15" s="83"/>
      <c r="S15" s="83">
        <f>Table!S18</f>
        <v>35.404476074610706</v>
      </c>
      <c r="T15" s="83">
        <f>Table!T18</f>
        <v>32.402914470521324</v>
      </c>
      <c r="U15" s="83">
        <f>Table!U18</f>
        <v>30.573828775996954</v>
      </c>
      <c r="V15" s="83">
        <f>Table!V18</f>
        <v>28.275790578268996</v>
      </c>
      <c r="W15" s="83">
        <f>Table!W18</f>
        <v>26.49364867696555</v>
      </c>
      <c r="X15" s="83">
        <f>Table!X18</f>
        <v>25.03633053162295</v>
      </c>
      <c r="Y15" s="83"/>
      <c r="Z15" s="83"/>
      <c r="AA15" s="98"/>
    </row>
    <row r="16" spans="1:27" ht="12.75">
      <c r="A16" s="82">
        <f t="shared" si="2"/>
        <v>7</v>
      </c>
      <c r="B16" s="103" t="s">
        <v>68</v>
      </c>
      <c r="C16" s="18"/>
      <c r="D16" s="18">
        <f>-Input_external!H8/Table_SR!D36*100</f>
        <v>25.528228774210664</v>
      </c>
      <c r="E16" s="18">
        <f>-Input_external!I8/Table_SR!E36*100</f>
        <v>23.977522989928218</v>
      </c>
      <c r="F16" s="83">
        <f>-Input_external!J8/Table_SR!F36*100</f>
        <v>25.56025647854576</v>
      </c>
      <c r="G16" s="83">
        <f>-Input_external!K8/Table_SR!G36*100</f>
        <v>23.868374959124395</v>
      </c>
      <c r="H16" s="83">
        <f>-Input_external!L8/Table_SR!H36*100</f>
        <v>21.707190342620642</v>
      </c>
      <c r="I16" s="83">
        <f>-Input_external!M8/Table_SR!I36*100</f>
        <v>24.779728267176722</v>
      </c>
      <c r="J16" s="83">
        <f>-Input_external!N8/Table_SR!J36*100</f>
        <v>28.57601181749963</v>
      </c>
      <c r="K16" s="83">
        <f>-Input_external!O8/Table_SR!K36*100</f>
        <v>35.57458947481717</v>
      </c>
      <c r="L16" s="83">
        <f>-Input_external!P8/Table_SR!L36*100</f>
        <v>31.589820679956677</v>
      </c>
      <c r="M16" s="83">
        <f>-Input_external!Q8/Table_SR!M36*100</f>
        <v>29.73340310335039</v>
      </c>
      <c r="N16" s="83"/>
      <c r="O16" s="83"/>
      <c r="P16" s="83"/>
      <c r="Q16" s="83"/>
      <c r="R16" s="83"/>
      <c r="S16" s="83">
        <f>Table!S19</f>
        <v>28.888047878804024</v>
      </c>
      <c r="T16" s="83">
        <f>Table!T19</f>
        <v>27.743423055491377</v>
      </c>
      <c r="U16" s="83">
        <f>Table!U19</f>
        <v>26.05632079957448</v>
      </c>
      <c r="V16" s="83">
        <f>Table!V19</f>
        <v>24.34373491566586</v>
      </c>
      <c r="W16" s="83">
        <f>Table!W19</f>
        <v>22.970850315033122</v>
      </c>
      <c r="X16" s="83">
        <f>Table!X19</f>
        <v>21.99807054223484</v>
      </c>
      <c r="Y16" s="83"/>
      <c r="Z16" s="83"/>
      <c r="AA16" s="98"/>
    </row>
    <row r="17" spans="1:27" ht="12.75">
      <c r="A17" s="82">
        <f t="shared" si="2"/>
        <v>8</v>
      </c>
      <c r="B17" s="99" t="s">
        <v>26</v>
      </c>
      <c r="C17" s="18"/>
      <c r="D17" s="18">
        <f aca="true" t="shared" si="6" ref="D17:M17">-(D18+D19)</f>
        <v>-1.7089290483771113</v>
      </c>
      <c r="E17" s="18">
        <f t="shared" si="6"/>
        <v>-0.913597852369438</v>
      </c>
      <c r="F17" s="83">
        <f t="shared" si="6"/>
        <v>-0.726476529600182</v>
      </c>
      <c r="G17" s="83">
        <f t="shared" si="6"/>
        <v>-1.0269301236624533</v>
      </c>
      <c r="H17" s="83">
        <f t="shared" si="6"/>
        <v>-1.5005756089164308</v>
      </c>
      <c r="I17" s="83">
        <f t="shared" si="6"/>
        <v>-1.0200789581139456</v>
      </c>
      <c r="J17" s="83">
        <f t="shared" si="6"/>
        <v>-1.4500564382631769</v>
      </c>
      <c r="K17" s="83">
        <f t="shared" si="6"/>
        <v>-1.8410647364717936</v>
      </c>
      <c r="L17" s="83">
        <f t="shared" si="6"/>
        <v>-1.1817437382774247</v>
      </c>
      <c r="M17" s="83">
        <f t="shared" si="6"/>
        <v>-0.8809882228706428</v>
      </c>
      <c r="N17" s="83"/>
      <c r="O17" s="83"/>
      <c r="P17" s="83"/>
      <c r="Q17" s="83"/>
      <c r="R17" s="83"/>
      <c r="S17" s="83">
        <f>Table!S20</f>
        <v>-0.8439007951753188</v>
      </c>
      <c r="T17" s="83">
        <f>Table!T20</f>
        <v>-0.9677358558458236</v>
      </c>
      <c r="U17" s="83">
        <f>Table!U20</f>
        <v>-0.9240912147629262</v>
      </c>
      <c r="V17" s="83">
        <f>Table!V20</f>
        <v>-0.8935420334131181</v>
      </c>
      <c r="W17" s="83">
        <f>Table!W20</f>
        <v>-0.8585705162336255</v>
      </c>
      <c r="X17" s="83">
        <f>Table!X20</f>
        <v>-0.867825187332338</v>
      </c>
      <c r="Y17" s="83">
        <f>X17</f>
        <v>-0.867825187332338</v>
      </c>
      <c r="Z17" s="83"/>
      <c r="AA17" s="98"/>
    </row>
    <row r="18" spans="1:27" ht="12.75" hidden="1">
      <c r="A18" s="82" t="s">
        <v>55</v>
      </c>
      <c r="B18" s="101" t="s">
        <v>41</v>
      </c>
      <c r="C18" s="18"/>
      <c r="D18" s="18">
        <f>Input_external!H9/Table_SR!D$36*100</f>
        <v>1.7089290483771113</v>
      </c>
      <c r="E18" s="18">
        <f>Input_external!I9/Table_SR!E$36*100</f>
        <v>0.913597852369438</v>
      </c>
      <c r="F18" s="83">
        <f>Input_external!J9/Table_SR!F$36*100</f>
        <v>0.726476529600182</v>
      </c>
      <c r="G18" s="83">
        <f>Input_external!K9/Table_SR!G$36*100</f>
        <v>1.0269301236624533</v>
      </c>
      <c r="H18" s="83">
        <f>Input_external!L9/Table_SR!H$36*100</f>
        <v>1.5005756089164308</v>
      </c>
      <c r="I18" s="83">
        <f>Input_external!M9/Table_SR!I$36*100</f>
        <v>1.0200789581139456</v>
      </c>
      <c r="J18" s="83">
        <f>Input_external!N9/Table_SR!J$36*100</f>
        <v>1.4500564382631769</v>
      </c>
      <c r="K18" s="83">
        <f>Input_external!O9/Table_SR!K$36*100</f>
        <v>1.8410647364717936</v>
      </c>
      <c r="L18" s="83">
        <f>Input_external!P9/Table_SR!L$36*100</f>
        <v>1.1817437382774247</v>
      </c>
      <c r="M18" s="83">
        <f>Input_external!Q9/Table_SR!M$36*100</f>
        <v>0.8809882228706428</v>
      </c>
      <c r="N18" s="83"/>
      <c r="O18" s="83"/>
      <c r="P18" s="83"/>
      <c r="Q18" s="83"/>
      <c r="R18" s="83"/>
      <c r="S18" s="83">
        <f>Input_external!R9/Table_SR!S$36*100</f>
        <v>0.8641545322769277</v>
      </c>
      <c r="T18" s="83">
        <f>Input_external!S9/Table_SR!T$36*100</f>
        <v>1.0121027866404972</v>
      </c>
      <c r="U18" s="83">
        <f>Input_external!T9/Table_SR!U$36*100</f>
        <v>0.983719993037632</v>
      </c>
      <c r="V18" s="83">
        <f>Input_external!U9/Table_SR!V$36*100</f>
        <v>0.9678088828127561</v>
      </c>
      <c r="W18" s="83">
        <f>Input_external!V9/Table_SR!W$36*100</f>
        <v>0.9458666623567411</v>
      </c>
      <c r="X18" s="83">
        <f>Input_external!W9/Table_SR!X$36*100</f>
        <v>0.9723153721163468</v>
      </c>
      <c r="Y18" s="83"/>
      <c r="Z18" s="83"/>
      <c r="AA18" s="98"/>
    </row>
    <row r="19" spans="1:27" ht="12.75" hidden="1">
      <c r="A19" s="82" t="s">
        <v>55</v>
      </c>
      <c r="B19" s="104" t="s">
        <v>42</v>
      </c>
      <c r="C19" s="18"/>
      <c r="D19" s="18">
        <f>Input_external!H10/Table_SR!D$36*100</f>
        <v>0</v>
      </c>
      <c r="E19" s="18">
        <f>Input_external!I10/Table_SR!E$36*100</f>
        <v>0</v>
      </c>
      <c r="F19" s="83">
        <f>Input_external!J10/Table_SR!F$36*100</f>
        <v>0</v>
      </c>
      <c r="G19" s="83">
        <f>Input_external!K10/Table_SR!G$36*100</f>
        <v>0</v>
      </c>
      <c r="H19" s="83">
        <f>Input_external!L10/Table_SR!H$36*100</f>
        <v>0</v>
      </c>
      <c r="I19" s="83">
        <f>Input_external!M10/Table_SR!I$36*100</f>
        <v>0</v>
      </c>
      <c r="J19" s="83">
        <f>Input_external!N10/Table_SR!J$36*100</f>
        <v>0</v>
      </c>
      <c r="K19" s="83">
        <f>Input_external!O10/Table_SR!K$36*100</f>
        <v>0</v>
      </c>
      <c r="L19" s="83">
        <f>Input_external!P10/Table_SR!L$36*100</f>
        <v>0</v>
      </c>
      <c r="M19" s="83">
        <f>Input_external!Q10/Table_SR!M$36*100</f>
        <v>0</v>
      </c>
      <c r="N19" s="83"/>
      <c r="O19" s="83"/>
      <c r="P19" s="83"/>
      <c r="Q19" s="83"/>
      <c r="R19" s="83"/>
      <c r="S19" s="83">
        <f>Input_external!R10/Table_SR!S$36*100</f>
        <v>0</v>
      </c>
      <c r="T19" s="83">
        <f>Input_external!S10/Table_SR!T$36*100</f>
        <v>0</v>
      </c>
      <c r="U19" s="83">
        <f>Input_external!T10/Table_SR!U$36*100</f>
        <v>0</v>
      </c>
      <c r="V19" s="83">
        <f>Input_external!U10/Table_SR!V$36*100</f>
        <v>0</v>
      </c>
      <c r="W19" s="83">
        <f>Input_external!V10/Table_SR!W$36*100</f>
        <v>0</v>
      </c>
      <c r="X19" s="83">
        <f>Input_external!W10/Table_SR!X$36*100</f>
        <v>0</v>
      </c>
      <c r="Y19" s="83"/>
      <c r="Z19" s="83"/>
      <c r="AA19" s="98"/>
    </row>
    <row r="20" spans="1:27" ht="12.75">
      <c r="A20" s="82">
        <f>A17+1</f>
        <v>9</v>
      </c>
      <c r="B20" s="105" t="s">
        <v>30</v>
      </c>
      <c r="C20" s="18"/>
      <c r="D20" s="42">
        <f aca="true" t="shared" si="7" ref="D20:M20">D22+D23+D24</f>
        <v>2.7025039826432256</v>
      </c>
      <c r="E20" s="42">
        <f t="shared" si="7"/>
        <v>-3.461302319905054</v>
      </c>
      <c r="F20" s="102">
        <f t="shared" si="7"/>
        <v>-4.716410756223144</v>
      </c>
      <c r="G20" s="102">
        <f t="shared" si="7"/>
        <v>-2.8490828498856278</v>
      </c>
      <c r="H20" s="102">
        <f t="shared" si="7"/>
        <v>-0.15613314354244845</v>
      </c>
      <c r="I20" s="102">
        <f t="shared" si="7"/>
        <v>-0.4349350089608929</v>
      </c>
      <c r="J20" s="102">
        <f t="shared" si="7"/>
        <v>-0.8294829148231108</v>
      </c>
      <c r="K20" s="102">
        <f t="shared" si="7"/>
        <v>0.9668251315967523</v>
      </c>
      <c r="L20" s="102">
        <f t="shared" si="7"/>
        <v>-0.5165411984663174</v>
      </c>
      <c r="M20" s="102">
        <f t="shared" si="7"/>
        <v>-0.48065059750035705</v>
      </c>
      <c r="N20" s="102"/>
      <c r="O20" s="102"/>
      <c r="P20" s="102"/>
      <c r="Q20" s="102"/>
      <c r="R20" s="102"/>
      <c r="S20" s="102">
        <f aca="true" t="shared" si="8" ref="S20:X20">S22+S23</f>
        <v>-0.015423602487856555</v>
      </c>
      <c r="T20" s="102">
        <f t="shared" si="8"/>
        <v>-0.024779921156881116</v>
      </c>
      <c r="U20" s="102">
        <f t="shared" si="8"/>
        <v>-0.021643235832338445</v>
      </c>
      <c r="V20" s="102">
        <f t="shared" si="8"/>
        <v>-0.01353583193518286</v>
      </c>
      <c r="W20" s="102">
        <f t="shared" si="8"/>
        <v>-0.025848748278051184</v>
      </c>
      <c r="X20" s="102">
        <f t="shared" si="8"/>
        <v>-0.0256171121340582</v>
      </c>
      <c r="Y20" s="102">
        <f>Y22+Y23+Y24</f>
        <v>-0.03965469322393439</v>
      </c>
      <c r="Z20" s="102"/>
      <c r="AA20" s="98"/>
    </row>
    <row r="21" spans="1:27" ht="12.75" hidden="1">
      <c r="A21" s="82" t="s">
        <v>55</v>
      </c>
      <c r="B21" s="104" t="s">
        <v>182</v>
      </c>
      <c r="C21" s="42"/>
      <c r="D21" s="42">
        <f aca="true" t="shared" si="9" ref="D21:M21">1+D37/100+D40/100+D37/100*D40/100</f>
        <v>1.0368283320039988</v>
      </c>
      <c r="E21" s="42">
        <f t="shared" si="9"/>
        <v>1.195608288821117</v>
      </c>
      <c r="F21" s="102">
        <f t="shared" si="9"/>
        <v>1.2575738033439823</v>
      </c>
      <c r="G21" s="102">
        <f t="shared" si="9"/>
        <v>1.2094693589463261</v>
      </c>
      <c r="H21" s="102">
        <f t="shared" si="9"/>
        <v>1.1362916443192785</v>
      </c>
      <c r="I21" s="102">
        <f t="shared" si="9"/>
        <v>1.145069885312269</v>
      </c>
      <c r="J21" s="102">
        <f t="shared" si="9"/>
        <v>1.278579282867286</v>
      </c>
      <c r="K21" s="102">
        <f t="shared" si="9"/>
        <v>0.8034340173500737</v>
      </c>
      <c r="L21" s="102">
        <f t="shared" si="9"/>
        <v>1.165374830908146</v>
      </c>
      <c r="M21" s="102">
        <f t="shared" si="9"/>
        <v>1.1827651780047568</v>
      </c>
      <c r="N21" s="102"/>
      <c r="O21" s="102"/>
      <c r="P21" s="102"/>
      <c r="Q21" s="102"/>
      <c r="R21" s="102"/>
      <c r="S21" s="102">
        <f aca="true" t="shared" si="10" ref="S21:Y21">1+S37/100+S40/100+S37/100*S40/100</f>
        <v>1.021463589319304</v>
      </c>
      <c r="T21" s="102">
        <f t="shared" si="10"/>
        <v>1.033558136606027</v>
      </c>
      <c r="U21" s="102">
        <f t="shared" si="10"/>
        <v>1.0484380230110855</v>
      </c>
      <c r="V21" s="102">
        <f t="shared" si="10"/>
        <v>1.0377509229309763</v>
      </c>
      <c r="W21" s="102">
        <f t="shared" si="10"/>
        <v>1.0446299709815485</v>
      </c>
      <c r="X21" s="102">
        <f t="shared" si="10"/>
        <v>1.0484064350459024</v>
      </c>
      <c r="Y21" s="102">
        <f t="shared" si="10"/>
        <v>1.0484064350459024</v>
      </c>
      <c r="Z21" s="102"/>
      <c r="AA21" s="98"/>
    </row>
    <row r="22" spans="1:27" ht="12.75">
      <c r="A22" s="82">
        <f>A20+1</f>
        <v>10</v>
      </c>
      <c r="B22" s="104" t="s">
        <v>97</v>
      </c>
      <c r="C22" s="18"/>
      <c r="D22" s="18">
        <f aca="true" t="shared" si="11" ref="D22:M22">D41/100/D21*C9</f>
        <v>4.175424582117273</v>
      </c>
      <c r="E22" s="18">
        <f t="shared" si="11"/>
        <v>3.064973440207147</v>
      </c>
      <c r="F22" s="83">
        <f t="shared" si="11"/>
        <v>2.331755312748972</v>
      </c>
      <c r="G22" s="83">
        <f t="shared" si="11"/>
        <v>1.5791472656318855</v>
      </c>
      <c r="H22" s="83">
        <f t="shared" si="11"/>
        <v>1.841615520033802</v>
      </c>
      <c r="I22" s="83">
        <f t="shared" si="11"/>
        <v>0.17125413165416603</v>
      </c>
      <c r="J22" s="83">
        <f t="shared" si="11"/>
        <v>0.11064687681526249</v>
      </c>
      <c r="K22" s="83">
        <f t="shared" si="11"/>
        <v>0.12322086818905707</v>
      </c>
      <c r="L22" s="83">
        <f t="shared" si="11"/>
        <v>0.0684167427423772</v>
      </c>
      <c r="M22" s="83">
        <f t="shared" si="11"/>
        <v>0.06531171515774152</v>
      </c>
      <c r="N22" s="83"/>
      <c r="O22" s="83"/>
      <c r="P22" s="83"/>
      <c r="Q22" s="83"/>
      <c r="R22" s="83"/>
      <c r="S22" s="83">
        <f>Table!S25</f>
        <v>0.06286012127179941</v>
      </c>
      <c r="T22" s="83">
        <f>Table!T25</f>
        <v>0.058224271539506364</v>
      </c>
      <c r="U22" s="83">
        <f>Table!U25</f>
        <v>0.05456992524495426</v>
      </c>
      <c r="V22" s="83">
        <f>Table!V25</f>
        <v>0.0599086984977418</v>
      </c>
      <c r="W22" s="83">
        <f>Table!W25</f>
        <v>0.055902103369058695</v>
      </c>
      <c r="X22" s="83">
        <f>Table!X25</f>
        <v>0.05201592034682382</v>
      </c>
      <c r="Y22" s="83">
        <f>Y41/100/Y21*X9</f>
        <v>0.0490150453603659</v>
      </c>
      <c r="Z22" s="83"/>
      <c r="AA22" s="98"/>
    </row>
    <row r="23" spans="1:27" ht="12.75">
      <c r="A23" s="82">
        <f>A22+1</f>
        <v>11</v>
      </c>
      <c r="B23" s="101" t="s">
        <v>98</v>
      </c>
      <c r="C23" s="18"/>
      <c r="D23" s="18">
        <f aca="true" t="shared" si="12" ref="D23:M23">-D37/100/D21*C9</f>
        <v>-1.8797285787410425</v>
      </c>
      <c r="E23" s="18">
        <f t="shared" si="12"/>
        <v>-2.3021162863888183</v>
      </c>
      <c r="F23" s="83">
        <f t="shared" si="12"/>
        <v>-1.422911145575965</v>
      </c>
      <c r="G23" s="83">
        <f t="shared" si="12"/>
        <v>-1.0781516543871474</v>
      </c>
      <c r="H23" s="83">
        <f t="shared" si="12"/>
        <v>-0.2931579075965019</v>
      </c>
      <c r="I23" s="83">
        <f t="shared" si="12"/>
        <v>-0.1253580243708515</v>
      </c>
      <c r="J23" s="83">
        <f t="shared" si="12"/>
        <v>-0.08099351382877072</v>
      </c>
      <c r="K23" s="83">
        <f t="shared" si="12"/>
        <v>-0.10467273085252374</v>
      </c>
      <c r="L23" s="83">
        <f t="shared" si="12"/>
        <v>-0.11625768034378085</v>
      </c>
      <c r="M23" s="83">
        <f t="shared" si="12"/>
        <v>-0.07379635513469245</v>
      </c>
      <c r="N23" s="83"/>
      <c r="O23" s="83"/>
      <c r="P23" s="83"/>
      <c r="Q23" s="83"/>
      <c r="R23" s="83"/>
      <c r="S23" s="83">
        <f>Table!S26</f>
        <v>-0.07828372375965596</v>
      </c>
      <c r="T23" s="83">
        <f>Table!T26</f>
        <v>-0.08300419269638748</v>
      </c>
      <c r="U23" s="83">
        <f>Table!U26</f>
        <v>-0.0762131610772927</v>
      </c>
      <c r="V23" s="83">
        <f>Table!V26</f>
        <v>-0.07344453043292466</v>
      </c>
      <c r="W23" s="83">
        <f>Table!W26</f>
        <v>-0.08175085164710988</v>
      </c>
      <c r="X23" s="83">
        <f>Table!X26</f>
        <v>-0.07763303248088202</v>
      </c>
      <c r="Y23" s="83">
        <f>-Y37/100/Y21*X9</f>
        <v>-0.07315426859972002</v>
      </c>
      <c r="Z23" s="83"/>
      <c r="AA23" s="98"/>
    </row>
    <row r="24" spans="1:27" ht="12.75">
      <c r="A24" s="82">
        <f>A23+1</f>
        <v>12</v>
      </c>
      <c r="B24" s="101" t="s">
        <v>54</v>
      </c>
      <c r="C24" s="18"/>
      <c r="D24" s="18">
        <f>(-D40/100*(1+D37/100)+Input_external!H36/100*Table_SR!D38/100*(1+Table_SR!D41/100))/D21*C9</f>
        <v>0.4068079792669953</v>
      </c>
      <c r="E24" s="18">
        <f>(-E40/100*(1+E37/100)+Input_external!I36/100*Table_SR!E38/100*(1+Table_SR!E41/100))/E21*D9</f>
        <v>-4.2241594737233825</v>
      </c>
      <c r="F24" s="83">
        <f>(-F40/100*(1+F37/100)+Input_external!J36/100*Table_SR!F38/100*(1+Table_SR!F41/100))/F21*E9</f>
        <v>-5.6252549233961515</v>
      </c>
      <c r="G24" s="83">
        <f>(-G40/100*(1+G37/100)+Input_external!K36/100*Table_SR!G38/100*(1+Table_SR!G41/100))/G21*F9</f>
        <v>-3.350078461130366</v>
      </c>
      <c r="H24" s="83">
        <f>(-H40/100*(1+H37/100)+Input_external!L36/100*Table_SR!H38/100*(1+Table_SR!H41/100))/H21*G9</f>
        <v>-1.7045907559797486</v>
      </c>
      <c r="I24" s="83">
        <f>(-I40/100*(1+I37/100)+Input_external!M36/100*Table_SR!I38/100*(1+Table_SR!I41/100))/I21*H9</f>
        <v>-0.4808311162442074</v>
      </c>
      <c r="J24" s="83">
        <f>(-J40/100*(1+J37/100)+Input_external!N36/100*Table_SR!J38/100*(1+Table_SR!J41/100))/J21*I9</f>
        <v>-0.8591362778096026</v>
      </c>
      <c r="K24" s="83">
        <f>(-K40/100*(1+K37/100)+Input_external!O36/100*Table_SR!K38/100*(1+Table_SR!K41/100))/K21*J9</f>
        <v>0.9482769942602189</v>
      </c>
      <c r="L24" s="83">
        <f>(-L40/100*(1+L37/100)+Input_external!P36/100*Table_SR!L38/100*(1+Table_SR!L41/100))/L21*K9</f>
        <v>-0.4687002608649138</v>
      </c>
      <c r="M24" s="83">
        <f>(-M40/100*(1+M37/100)+Input_external!Q36/100*Table_SR!M38/100*(1+Table_SR!M41/100))/M21*L9</f>
        <v>-0.4721659575234061</v>
      </c>
      <c r="N24" s="83"/>
      <c r="O24" s="83"/>
      <c r="P24" s="83"/>
      <c r="Q24" s="83"/>
      <c r="R24" s="83"/>
      <c r="S24" s="106" t="s">
        <v>71</v>
      </c>
      <c r="T24" s="106" t="s">
        <v>71</v>
      </c>
      <c r="U24" s="106" t="s">
        <v>71</v>
      </c>
      <c r="V24" s="106" t="s">
        <v>71</v>
      </c>
      <c r="W24" s="106" t="s">
        <v>71</v>
      </c>
      <c r="X24" s="106" t="s">
        <v>71</v>
      </c>
      <c r="Y24" s="83">
        <f>(-Y40/100*(1+Y37/100)+Input_external!W36/100*Table_SR!Y38/100*(1+Table_SR!Y41/100))/Y21*X9</f>
        <v>-0.015515469984580265</v>
      </c>
      <c r="Z24" s="83"/>
      <c r="AA24" s="98"/>
    </row>
    <row r="25" spans="1:27" ht="12.75">
      <c r="A25" s="82">
        <f>A24+1</f>
        <v>13</v>
      </c>
      <c r="B25" s="107" t="s">
        <v>134</v>
      </c>
      <c r="C25" s="18"/>
      <c r="D25" s="18">
        <f aca="true" t="shared" si="13" ref="D25:M25">D11-D12</f>
        <v>9.284875787211469</v>
      </c>
      <c r="E25" s="18">
        <f t="shared" si="13"/>
        <v>14.94041933057899</v>
      </c>
      <c r="F25" s="83">
        <f t="shared" si="13"/>
        <v>11.956488989047685</v>
      </c>
      <c r="G25" s="83">
        <f t="shared" si="13"/>
        <v>17.064478488858914</v>
      </c>
      <c r="H25" s="83">
        <f t="shared" si="13"/>
        <v>16.310233749188242</v>
      </c>
      <c r="I25" s="83">
        <f t="shared" si="13"/>
        <v>23.94058302207131</v>
      </c>
      <c r="J25" s="83">
        <f t="shared" si="13"/>
        <v>21.586736873311203</v>
      </c>
      <c r="K25" s="83">
        <f t="shared" si="13"/>
        <v>1.9690825205765923</v>
      </c>
      <c r="L25" s="83">
        <f t="shared" si="13"/>
        <v>8.722678062036529</v>
      </c>
      <c r="M25" s="83">
        <f t="shared" si="13"/>
        <v>10.901774563416097</v>
      </c>
      <c r="N25" s="83"/>
      <c r="O25" s="83"/>
      <c r="P25" s="83"/>
      <c r="Q25" s="83"/>
      <c r="R25" s="83"/>
      <c r="S25" s="83">
        <f>Table!S28+Table!S27</f>
        <v>6.269235154162124</v>
      </c>
      <c r="T25" s="83">
        <f>Table!T28+Table!T27</f>
        <v>4.591798135852176</v>
      </c>
      <c r="U25" s="83">
        <f>Table!U28+Table!U27</f>
        <v>4.905157941515117</v>
      </c>
      <c r="V25" s="83">
        <f>Table!V28+Table!V27</f>
        <v>4.761648111538797</v>
      </c>
      <c r="W25" s="83">
        <f>Table!W28+Table!W27</f>
        <v>4.802973940135555</v>
      </c>
      <c r="X25" s="83">
        <f>Table!X28+Table!X27</f>
        <v>5.465464097135126</v>
      </c>
      <c r="Y25" s="83">
        <v>0</v>
      </c>
      <c r="Z25" s="83"/>
      <c r="AA25" s="98"/>
    </row>
    <row r="26" spans="2:27" ht="12.75">
      <c r="B26" s="105"/>
      <c r="C26" s="7"/>
      <c r="D26" s="31"/>
      <c r="E26" s="31"/>
      <c r="F26" s="108"/>
      <c r="G26" s="108"/>
      <c r="H26" s="108"/>
      <c r="I26" s="109"/>
      <c r="J26" s="83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98"/>
    </row>
    <row r="27" spans="2:27" ht="12.75">
      <c r="B27" s="82" t="s">
        <v>28</v>
      </c>
      <c r="C27" s="19">
        <f aca="true" t="shared" si="14" ref="C27:M27">C9/C15*100</f>
        <v>113.49478546930776</v>
      </c>
      <c r="D27" s="19">
        <f t="shared" si="14"/>
        <v>113.15817355651112</v>
      </c>
      <c r="E27" s="19">
        <f t="shared" si="14"/>
        <v>89.7160968113715</v>
      </c>
      <c r="F27" s="106">
        <f t="shared" si="14"/>
        <v>64.04721454639892</v>
      </c>
      <c r="G27" s="106">
        <f t="shared" si="14"/>
        <v>35.2006552006552</v>
      </c>
      <c r="H27" s="106">
        <f t="shared" si="14"/>
        <v>9.790648988136777</v>
      </c>
      <c r="I27" s="106">
        <f t="shared" si="14"/>
        <v>9.128859483301827</v>
      </c>
      <c r="J27" s="106">
        <f t="shared" si="14"/>
        <v>7.213501052207485</v>
      </c>
      <c r="K27" s="106">
        <f t="shared" si="14"/>
        <v>11.806021549913401</v>
      </c>
      <c r="L27" s="106">
        <f t="shared" si="14"/>
        <v>9.361565380423272</v>
      </c>
      <c r="M27" s="106">
        <f t="shared" si="14"/>
        <v>6.623719980204909</v>
      </c>
      <c r="N27" s="106"/>
      <c r="O27" s="106"/>
      <c r="P27" s="106"/>
      <c r="Q27" s="106"/>
      <c r="R27" s="106"/>
      <c r="S27" s="106">
        <f aca="true" t="shared" si="15" ref="S27:X27">S9/S15*100</f>
        <v>6.938090338320086</v>
      </c>
      <c r="T27" s="106">
        <f t="shared" si="15"/>
        <v>7.151755434679136</v>
      </c>
      <c r="U27" s="106">
        <f t="shared" si="15"/>
        <v>7.134696162656491</v>
      </c>
      <c r="V27" s="106">
        <f t="shared" si="15"/>
        <v>7.209369309826508</v>
      </c>
      <c r="W27" s="106">
        <f t="shared" si="15"/>
        <v>7.214540259304866</v>
      </c>
      <c r="X27" s="106">
        <f t="shared" si="15"/>
        <v>7.073786153408626</v>
      </c>
      <c r="Y27" s="106"/>
      <c r="Z27" s="106"/>
      <c r="AA27" s="98"/>
    </row>
    <row r="28" spans="2:27" ht="12.75">
      <c r="B28" s="105"/>
      <c r="C28" s="7"/>
      <c r="D28" s="31"/>
      <c r="E28" s="31"/>
      <c r="F28" s="108"/>
      <c r="G28" s="108"/>
      <c r="H28" s="108"/>
      <c r="I28" s="108"/>
      <c r="J28" s="83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98"/>
    </row>
    <row r="29" spans="2:27" ht="12.75">
      <c r="B29" s="110" t="s">
        <v>137</v>
      </c>
      <c r="C29" s="7"/>
      <c r="D29" s="19">
        <f>Input_external!H27</f>
        <v>-0.8771599999999999</v>
      </c>
      <c r="E29" s="19">
        <f>Input_external!I27</f>
        <v>-4.751099999999999</v>
      </c>
      <c r="F29" s="106">
        <f>Input_external!J27</f>
        <v>-6.174078</v>
      </c>
      <c r="G29" s="106">
        <f>Input_external!K27</f>
        <v>-15.4545</v>
      </c>
      <c r="H29" s="106">
        <f>Input_external!L27</f>
        <v>-14.290199999999999</v>
      </c>
      <c r="I29" s="106">
        <f>Input_external!M27</f>
        <v>-29.25</v>
      </c>
      <c r="J29" s="106">
        <f>Input_external!N27</f>
        <v>-32.552195</v>
      </c>
      <c r="K29" s="106">
        <f>Input_external!O27</f>
        <v>0.9994119999999901</v>
      </c>
      <c r="L29" s="106">
        <f>Input_external!P27</f>
        <v>-9.66064582097</v>
      </c>
      <c r="M29" s="106">
        <f>Input_external!Q27</f>
        <v>-17.14824545487104</v>
      </c>
      <c r="N29" s="106"/>
      <c r="O29" s="106"/>
      <c r="P29" s="106"/>
      <c r="Q29" s="106"/>
      <c r="R29" s="106"/>
      <c r="S29" s="106">
        <f>Input_external!R27</f>
        <v>-10.224014277454009</v>
      </c>
      <c r="T29" s="106">
        <f>Input_external!S27</f>
        <v>-7.018660120111759</v>
      </c>
      <c r="U29" s="106">
        <f>Input_external!T27</f>
        <v>-8.455986824076222</v>
      </c>
      <c r="V29" s="106">
        <f>Input_external!U27</f>
        <v>-8.629301625759453</v>
      </c>
      <c r="W29" s="106">
        <f>Input_external!V27</f>
        <v>-9.405852494443643</v>
      </c>
      <c r="X29" s="106">
        <f>Input_external!W27</f>
        <v>-11.849145554929702</v>
      </c>
      <c r="Y29" s="106"/>
      <c r="Z29" s="106"/>
      <c r="AA29" s="98"/>
    </row>
    <row r="30" spans="2:27" ht="12.75">
      <c r="B30" s="105" t="s">
        <v>38</v>
      </c>
      <c r="C30" s="7"/>
      <c r="D30" s="19">
        <f aca="true" t="shared" si="16" ref="D30:M30">D29/D36*100</f>
        <v>-1.5453651588396569</v>
      </c>
      <c r="E30" s="19">
        <f t="shared" si="16"/>
        <v>-7.00095928450393</v>
      </c>
      <c r="F30" s="106">
        <f t="shared" si="16"/>
        <v>-7.2343915466465045</v>
      </c>
      <c r="G30" s="106">
        <f t="shared" si="16"/>
        <v>-14.97235056239753</v>
      </c>
      <c r="H30" s="106">
        <f t="shared" si="16"/>
        <v>-12.183821344623622</v>
      </c>
      <c r="I30" s="106">
        <f t="shared" si="16"/>
        <v>-21.77905804732329</v>
      </c>
      <c r="J30" s="106">
        <f t="shared" si="16"/>
        <v>-18.956835317007386</v>
      </c>
      <c r="K30" s="106">
        <f t="shared" si="16"/>
        <v>0.7244024371680038</v>
      </c>
      <c r="L30" s="106">
        <f t="shared" si="16"/>
        <v>-6.00863563507751</v>
      </c>
      <c r="M30" s="106">
        <f t="shared" si="16"/>
        <v>-9.017597987456698</v>
      </c>
      <c r="N30" s="106"/>
      <c r="O30" s="111" t="str">
        <f>Table!O33</f>
        <v>10-Year</v>
      </c>
      <c r="P30" s="93"/>
      <c r="Q30" s="111" t="str">
        <f>Table!Q33</f>
        <v>10-Year</v>
      </c>
      <c r="R30" s="106"/>
      <c r="S30" s="106">
        <f aca="true" t="shared" si="17" ref="S30:X30">S29/S36*100</f>
        <v>-5.263440715636809</v>
      </c>
      <c r="T30" s="106">
        <f t="shared" si="17"/>
        <v>-3.495969139126484</v>
      </c>
      <c r="U30" s="106">
        <f t="shared" si="17"/>
        <v>-4.017305994911006</v>
      </c>
      <c r="V30" s="106">
        <f t="shared" si="17"/>
        <v>-3.950509735567721</v>
      </c>
      <c r="W30" s="106">
        <f t="shared" si="17"/>
        <v>-4.122049178492762</v>
      </c>
      <c r="X30" s="106">
        <f t="shared" si="17"/>
        <v>-4.953046002158002</v>
      </c>
      <c r="Y30" s="106"/>
      <c r="Z30" s="106"/>
      <c r="AA30" s="112"/>
    </row>
    <row r="31" spans="2:27" ht="12.75">
      <c r="B31" s="12"/>
      <c r="C31" s="7"/>
      <c r="D31" s="19"/>
      <c r="E31" s="19"/>
      <c r="F31" s="106"/>
      <c r="G31" s="106"/>
      <c r="H31" s="106"/>
      <c r="I31" s="106"/>
      <c r="J31" s="106"/>
      <c r="K31" s="106"/>
      <c r="L31" s="106"/>
      <c r="M31" s="106"/>
      <c r="N31" s="106"/>
      <c r="O31" s="113"/>
      <c r="P31" s="93"/>
      <c r="Q31" s="113"/>
      <c r="R31" s="106"/>
      <c r="S31" s="106"/>
      <c r="T31" s="106"/>
      <c r="U31" s="106"/>
      <c r="V31" s="106"/>
      <c r="W31" s="106"/>
      <c r="X31" s="106"/>
      <c r="Y31" s="106"/>
      <c r="Z31" s="106"/>
      <c r="AA31" s="112"/>
    </row>
    <row r="32" spans="2:28" ht="12.75">
      <c r="B32" s="114" t="s">
        <v>167</v>
      </c>
      <c r="F32" s="83"/>
      <c r="G32" s="83"/>
      <c r="H32" s="83"/>
      <c r="I32" s="83"/>
      <c r="J32" s="83"/>
      <c r="K32" s="102"/>
      <c r="L32" s="102"/>
      <c r="M32" s="102"/>
      <c r="N32" s="102"/>
      <c r="O32" s="102"/>
      <c r="P32" s="102"/>
      <c r="Q32" s="102"/>
      <c r="R32" s="102"/>
      <c r="S32" s="115">
        <f>'A1_historical'!O12</f>
        <v>2.514588096821696</v>
      </c>
      <c r="T32" s="115">
        <f>'A1_historical'!P12</f>
        <v>-9.842422447948683</v>
      </c>
      <c r="U32" s="115">
        <f>'A1_historical'!Q12</f>
        <v>-21.293993138283547</v>
      </c>
      <c r="V32" s="115">
        <f>'A1_historical'!R12</f>
        <v>-32.388396314084126</v>
      </c>
      <c r="W32" s="115">
        <f>'A1_historical'!S12</f>
        <v>-42.92141634315797</v>
      </c>
      <c r="X32" s="115">
        <f>'A1_historical'!T12</f>
        <v>-52.45483189850952</v>
      </c>
      <c r="Y32" s="115"/>
      <c r="Z32" s="102"/>
      <c r="AA32" s="88">
        <f>-'A1_historical'!U16</f>
        <v>2.568605069811402</v>
      </c>
      <c r="AB32" s="47"/>
    </row>
    <row r="33" spans="2:27" ht="12.75">
      <c r="B33" s="7"/>
      <c r="C33" s="7"/>
      <c r="D33" s="31"/>
      <c r="E33" s="31"/>
      <c r="F33" s="108"/>
      <c r="G33" s="108"/>
      <c r="H33" s="108"/>
      <c r="I33" s="108"/>
      <c r="J33" s="83"/>
      <c r="K33" s="102"/>
      <c r="L33" s="102"/>
      <c r="M33" s="102"/>
      <c r="N33" s="102"/>
      <c r="O33" s="116" t="str">
        <f>Table!O34</f>
        <v>Historical</v>
      </c>
      <c r="P33" s="93"/>
      <c r="Q33" s="102" t="str">
        <f>Table!Q34</f>
        <v>Standard </v>
      </c>
      <c r="R33" s="113"/>
      <c r="S33" s="117"/>
      <c r="T33" s="117"/>
      <c r="U33" s="117"/>
      <c r="V33" s="117"/>
      <c r="W33" s="117"/>
      <c r="X33" s="117"/>
      <c r="Y33" s="118" t="s">
        <v>131</v>
      </c>
      <c r="Z33" s="117"/>
      <c r="AA33" s="113"/>
    </row>
    <row r="34" spans="2:27" ht="12.75">
      <c r="B34" s="110" t="s">
        <v>168</v>
      </c>
      <c r="C34" s="14"/>
      <c r="D34" s="73"/>
      <c r="E34" s="73"/>
      <c r="F34" s="119"/>
      <c r="G34" s="119"/>
      <c r="H34" s="119"/>
      <c r="I34" s="119"/>
      <c r="J34" s="119"/>
      <c r="K34" s="102"/>
      <c r="L34" s="102"/>
      <c r="M34" s="102"/>
      <c r="N34" s="102"/>
      <c r="O34" s="120" t="str">
        <f>Table!O35</f>
        <v>Average</v>
      </c>
      <c r="P34" s="93"/>
      <c r="Q34" s="121" t="str">
        <f>Table!Q35</f>
        <v>Deviation</v>
      </c>
      <c r="R34" s="102"/>
      <c r="S34" s="102"/>
      <c r="T34" s="102"/>
      <c r="U34" s="102"/>
      <c r="V34" s="102"/>
      <c r="W34" s="102"/>
      <c r="X34" s="102"/>
      <c r="Y34" s="116" t="s">
        <v>132</v>
      </c>
      <c r="Z34" s="102"/>
      <c r="AA34" s="113"/>
    </row>
    <row r="35" spans="2:27" ht="12.75">
      <c r="B35" s="5"/>
      <c r="C35" s="5"/>
      <c r="D35" s="32"/>
      <c r="E35" s="32"/>
      <c r="F35" s="122"/>
      <c r="G35" s="122"/>
      <c r="H35" s="122"/>
      <c r="I35" s="122"/>
      <c r="J35" s="84"/>
      <c r="K35" s="85"/>
      <c r="L35" s="85"/>
      <c r="M35" s="85"/>
      <c r="N35" s="85"/>
      <c r="O35" s="102"/>
      <c r="P35" s="102"/>
      <c r="Q35" s="102"/>
      <c r="R35" s="93"/>
      <c r="S35" s="85"/>
      <c r="T35" s="85"/>
      <c r="U35" s="85"/>
      <c r="V35" s="85"/>
      <c r="W35" s="85"/>
      <c r="X35" s="85"/>
      <c r="Y35" s="85"/>
      <c r="Z35" s="85"/>
      <c r="AA35" s="112"/>
    </row>
    <row r="36" spans="1:27" ht="12.75" hidden="1">
      <c r="A36" t="s">
        <v>55</v>
      </c>
      <c r="B36" s="5" t="s">
        <v>25</v>
      </c>
      <c r="C36" s="18">
        <f>IF(ISNUMBER(Input_external!G$11),Input_external!G$11,".")</f>
        <v>54.74454445379784</v>
      </c>
      <c r="D36" s="18">
        <f>IF(ISNUMBER(Input_external!H$11),Input_external!H$11,".")</f>
        <v>56.76069471234998</v>
      </c>
      <c r="E36" s="18">
        <f>IF(ISNUMBER(Input_external!I$11),Input_external!I$11,".")</f>
        <v>67.86355707733058</v>
      </c>
      <c r="F36" s="83">
        <f>IF(ISNUMBER(Input_external!J$11),Input_external!J$11,".")</f>
        <v>85.34343158219005</v>
      </c>
      <c r="G36" s="83">
        <f>IF(ISNUMBER(Input_external!K$11),Input_external!K$11,".")</f>
        <v>103.22026548599102</v>
      </c>
      <c r="H36" s="83">
        <f>IF(ISNUMBER(Input_external!L$11),Input_external!L$11,".")</f>
        <v>117.28832519614924</v>
      </c>
      <c r="I36" s="83">
        <f>IF(ISNUMBER(Input_external!M$11),Input_external!M$11,".")</f>
        <v>134.30332908082272</v>
      </c>
      <c r="J36" s="83">
        <f>IF(ISNUMBER(Input_external!N$11),Input_external!N$11,".")</f>
        <v>171.71745418284743</v>
      </c>
      <c r="K36" s="102">
        <f>IF(ISNUMBER(Input_external!O$11),Input_external!O$11,".")</f>
        <v>137.96364406325236</v>
      </c>
      <c r="L36" s="102">
        <f>IF(ISNUMBER(Input_external!P$11),Input_external!P$11,".")</f>
        <v>160.77935837168434</v>
      </c>
      <c r="M36" s="102">
        <f>IF(ISNUMBER(Input_external!Q$11),Input_external!Q$11,".")</f>
        <v>190.16422642397583</v>
      </c>
      <c r="N36" s="102"/>
      <c r="O36" s="93"/>
      <c r="P36" s="93"/>
      <c r="Q36" s="93"/>
      <c r="R36" s="93"/>
      <c r="S36" s="102">
        <f>M36*(1+S37/100)*(1+S40/100)</f>
        <v>194.24583328316322</v>
      </c>
      <c r="T36" s="102">
        <f aca="true" t="shared" si="18" ref="T36:Y36">S36*(1+T37/100)*(1+T40/100)</f>
        <v>200.76436149163112</v>
      </c>
      <c r="U36" s="102">
        <f t="shared" si="18"/>
        <v>210.48899025336863</v>
      </c>
      <c r="V36" s="102">
        <f t="shared" si="18"/>
        <v>218.43514390224257</v>
      </c>
      <c r="W36" s="102">
        <f t="shared" si="18"/>
        <v>228.18389803595005</v>
      </c>
      <c r="X36" s="102">
        <f t="shared" si="18"/>
        <v>239.22946707474804</v>
      </c>
      <c r="Y36" s="102">
        <f t="shared" si="18"/>
        <v>250.80971273376767</v>
      </c>
      <c r="Z36" s="102"/>
      <c r="AA36" s="112"/>
    </row>
    <row r="37" spans="2:27" ht="12.75">
      <c r="B37" s="92" t="s">
        <v>44</v>
      </c>
      <c r="C37" s="5"/>
      <c r="D37" s="18">
        <f>(Input_external!H13/Input_external!G13-1)*100</f>
        <v>4.699999999999993</v>
      </c>
      <c r="E37" s="18">
        <f>(Input_external!I13/Input_external!H13-1)*100</f>
        <v>6.899999999999995</v>
      </c>
      <c r="F37" s="83">
        <f>(Input_external!J13/Input_external!I13-1)*100</f>
        <v>5.199999999999916</v>
      </c>
      <c r="G37" s="83">
        <f>(Input_external!K13/Input_external!J13-1)*100</f>
        <v>5.100000000000082</v>
      </c>
      <c r="H37" s="83">
        <f>(Input_external!L13/Input_external!K13-1)*100</f>
        <v>2.0000000000000684</v>
      </c>
      <c r="I37" s="83">
        <f>(Input_external!M13/Input_external!L13-1)*100</f>
        <v>3.000000000000047</v>
      </c>
      <c r="J37" s="83">
        <f>(Input_external!N13/Input_external!M13-1)*100</f>
        <v>2.3999999999999577</v>
      </c>
      <c r="K37" s="102">
        <f>(Input_external!O13/Input_external!N13-1)*100</f>
        <v>2.4389514241625054</v>
      </c>
      <c r="L37" s="102">
        <f>(Input_external!P13/Input_external!O13-1)*100</f>
        <v>3.286748135925688</v>
      </c>
      <c r="M37" s="102">
        <f>(Input_external!Q13/Input_external!P13-1)*100</f>
        <v>2.4703910269243456</v>
      </c>
      <c r="N37" s="102"/>
      <c r="O37" s="102">
        <f>Table!O38</f>
        <v>3.7496090587012603</v>
      </c>
      <c r="P37" s="102"/>
      <c r="Q37" s="102">
        <f>Table!Q38</f>
        <v>1.6250931000133242</v>
      </c>
      <c r="R37" s="102"/>
      <c r="S37" s="102">
        <f>(Input_external!R13/Input_external!Q13-1)*100</f>
        <v>3.060629831131245</v>
      </c>
      <c r="T37" s="102">
        <f>(Input_external!S13/Input_external!R13-1)*100</f>
        <v>3.567012161902805</v>
      </c>
      <c r="U37" s="102">
        <f>(Input_external!T13/Input_external!S13-1)*100</f>
        <v>3.5096586367163063</v>
      </c>
      <c r="V37" s="102">
        <f>(Input_external!U13/Input_external!T13-1)*100</f>
        <v>3.5550460844580023</v>
      </c>
      <c r="W37" s="102">
        <f>(Input_external!V13/Input_external!U13-1)*100</f>
        <v>4.2611033627514505</v>
      </c>
      <c r="X37" s="102">
        <f>(Input_external!W13/Input_external!V13-1)*100</f>
        <v>4.330586796355673</v>
      </c>
      <c r="Y37" s="102">
        <f>X37</f>
        <v>4.330586796355673</v>
      </c>
      <c r="Z37" s="102"/>
      <c r="AA37" s="113"/>
    </row>
    <row r="38" spans="1:27" ht="12.75" hidden="1">
      <c r="A38" t="s">
        <v>55</v>
      </c>
      <c r="B38" s="107" t="s">
        <v>53</v>
      </c>
      <c r="C38" s="11"/>
      <c r="D38" s="18">
        <f>Input_external!H33</f>
        <v>-3.0959352123882455</v>
      </c>
      <c r="E38" s="18">
        <f>Input_external!I33</f>
        <v>2.954842044059691</v>
      </c>
      <c r="F38" s="83">
        <f>Input_external!J33</f>
        <v>7.3956536641074155</v>
      </c>
      <c r="G38" s="83">
        <f>Input_external!K33</f>
        <v>-1.652660131054151</v>
      </c>
      <c r="H38" s="83">
        <f>Input_external!L33</f>
        <v>0.8667873268701332</v>
      </c>
      <c r="I38" s="83">
        <f>Input_external!M33</f>
        <v>4.840670357307153</v>
      </c>
      <c r="J38" s="83">
        <f>Input_external!N33</f>
        <v>7.292344091615721</v>
      </c>
      <c r="K38" s="83">
        <f>Input_external!O33</f>
        <v>-11.203078746447526</v>
      </c>
      <c r="L38" s="83">
        <f>Input_external!P33</f>
        <v>-2.9526164307339897</v>
      </c>
      <c r="M38" s="83">
        <f>Input_external!Q33</f>
        <v>3.084047038887072</v>
      </c>
      <c r="N38" s="83"/>
      <c r="O38" s="102">
        <f>Table!O39</f>
        <v>0.7530054002223273</v>
      </c>
      <c r="P38" s="94"/>
      <c r="Q38" s="102">
        <f>Table!Q39</f>
        <v>5.687927459864055</v>
      </c>
      <c r="R38" s="102"/>
      <c r="S38" s="83">
        <f>Input_external!R33</f>
        <v>-2.3437633368933453</v>
      </c>
      <c r="T38" s="83">
        <f>Input_external!S33</f>
        <v>-2.088832794258577</v>
      </c>
      <c r="U38" s="83">
        <f>Input_external!T33</f>
        <v>-1.7548474059878805</v>
      </c>
      <c r="V38" s="83">
        <f>Input_external!U33</f>
        <v>-1.716177295824528</v>
      </c>
      <c r="W38" s="83">
        <f>Input_external!V33</f>
        <v>-1.6847996711095492</v>
      </c>
      <c r="X38" s="83">
        <f>Input_external!W33</f>
        <v>-1.6715830875122517</v>
      </c>
      <c r="Y38" s="83">
        <f>X38</f>
        <v>-1.6715830875122517</v>
      </c>
      <c r="Z38" s="83"/>
      <c r="AA38" s="113"/>
    </row>
    <row r="39" spans="1:27" ht="12.75" hidden="1">
      <c r="A39" t="s">
        <v>55</v>
      </c>
      <c r="B39" s="107" t="s">
        <v>64</v>
      </c>
      <c r="C39" s="11"/>
      <c r="D39" s="18">
        <f>Input_external!H34</f>
        <v>2.1923014274317643</v>
      </c>
      <c r="E39" s="18">
        <f>Input_external!I34</f>
        <v>8.63366592530288</v>
      </c>
      <c r="F39" s="83">
        <f>Input_external!J34</f>
        <v>11.309193604047806</v>
      </c>
      <c r="G39" s="83">
        <f>Input_external!K34</f>
        <v>17.01176675561664</v>
      </c>
      <c r="H39" s="83">
        <f>Input_external!L34</f>
        <v>10.443828491256802</v>
      </c>
      <c r="I39" s="83">
        <f>Input_external!M34</f>
        <v>6.038842699668545</v>
      </c>
      <c r="J39" s="83">
        <f>Input_external!N34</f>
        <v>16.37480674845806</v>
      </c>
      <c r="K39" s="83">
        <f>Input_external!O34</f>
        <v>-11.674280643559175</v>
      </c>
      <c r="L39" s="83">
        <f>Input_external!P34</f>
        <v>16.26184179685266</v>
      </c>
      <c r="M39" s="83">
        <f>Input_external!Q34</f>
        <v>11.97180418387267</v>
      </c>
      <c r="N39" s="83"/>
      <c r="O39" s="102">
        <f>Table!O40</f>
        <v>8.856377098894864</v>
      </c>
      <c r="P39" s="94"/>
      <c r="Q39" s="102">
        <f>Table!Q40</f>
        <v>8.628287979691576</v>
      </c>
      <c r="R39" s="102"/>
      <c r="S39" s="83">
        <f>Input_external!R34</f>
        <v>1.4916035372531944</v>
      </c>
      <c r="T39" s="83">
        <f>Input_external!S34</f>
        <v>1.9251208601722025</v>
      </c>
      <c r="U39" s="83">
        <f>Input_external!T34</f>
        <v>3.0981221359417166</v>
      </c>
      <c r="V39" s="83">
        <f>Input_external!U34</f>
        <v>1.9623466631461417</v>
      </c>
      <c r="W39" s="83">
        <f>Input_external!V34</f>
        <v>1.9106324312814449</v>
      </c>
      <c r="X39" s="83">
        <f>Input_external!W34</f>
        <v>2.197196160975312</v>
      </c>
      <c r="Y39" s="83">
        <f>X39</f>
        <v>2.197196160975312</v>
      </c>
      <c r="Z39" s="83"/>
      <c r="AA39" s="113"/>
    </row>
    <row r="40" spans="2:27" s="24" customFormat="1" ht="12.75">
      <c r="B40" s="123" t="s">
        <v>65</v>
      </c>
      <c r="C40" s="36"/>
      <c r="D40" s="37">
        <f aca="true" t="shared" si="19" ref="D40:M40">((1+D38/100)*(1+D39/100)-1)*100</f>
        <v>-0.9715060168100309</v>
      </c>
      <c r="E40" s="37">
        <f t="shared" si="19"/>
        <v>11.843619160067087</v>
      </c>
      <c r="F40" s="124">
        <f t="shared" si="19"/>
        <v>19.541236059313995</v>
      </c>
      <c r="G40" s="124">
        <f t="shared" si="19"/>
        <v>15.077959937804497</v>
      </c>
      <c r="H40" s="124">
        <f t="shared" si="19"/>
        <v>11.401141599929199</v>
      </c>
      <c r="I40" s="124">
        <f t="shared" si="19"/>
        <v>11.17183352546296</v>
      </c>
      <c r="J40" s="124">
        <f t="shared" si="19"/>
        <v>24.861258092508454</v>
      </c>
      <c r="K40" s="124">
        <f t="shared" si="19"/>
        <v>-21.569480536427488</v>
      </c>
      <c r="L40" s="124">
        <f t="shared" si="19"/>
        <v>12.82907555328483</v>
      </c>
      <c r="M40" s="124">
        <f t="shared" si="19"/>
        <v>15.425067295193816</v>
      </c>
      <c r="N40" s="124"/>
      <c r="O40" s="102">
        <f>Table!O41</f>
        <v>9.961020467032732</v>
      </c>
      <c r="P40" s="102"/>
      <c r="Q40" s="102">
        <f>Table!Q41</f>
        <v>12.90494760066813</v>
      </c>
      <c r="R40" s="102"/>
      <c r="S40" s="124">
        <f aca="true" t="shared" si="20" ref="S40:Y40">((1+S38/100)*(1+S39/100)-1)*100</f>
        <v>-0.8871194564780915</v>
      </c>
      <c r="T40" s="124">
        <f t="shared" si="20"/>
        <v>-0.2039244899427639</v>
      </c>
      <c r="U40" s="124">
        <f t="shared" si="20"/>
        <v>1.2889074140169265</v>
      </c>
      <c r="V40" s="124">
        <f t="shared" si="20"/>
        <v>0.21249201942332707</v>
      </c>
      <c r="W40" s="124">
        <f t="shared" si="20"/>
        <v>0.19364243125354896</v>
      </c>
      <c r="X40" s="124">
        <f t="shared" si="20"/>
        <v>0.4888851140367301</v>
      </c>
      <c r="Y40" s="124">
        <f t="shared" si="20"/>
        <v>0.4888851140367301</v>
      </c>
      <c r="Z40" s="124"/>
      <c r="AA40" s="113"/>
    </row>
    <row r="41" spans="2:27" ht="12.75">
      <c r="B41" s="107" t="s">
        <v>45</v>
      </c>
      <c r="C41" s="11"/>
      <c r="D41" s="18">
        <f>IF(ISNUMBER(100*Input_external!H5/Input_external!G4),(100*Input_external!H5/Input_external!G4),".")</f>
        <v>10.440068719439672</v>
      </c>
      <c r="E41" s="18">
        <f>IF(ISNUMBER(100*Input_external!I5/Input_external!H4),(100*Input_external!I5/Input_external!H4),".")</f>
        <v>9.186467626534759</v>
      </c>
      <c r="F41" s="83">
        <f>IF(ISNUMBER(100*Input_external!J5/Input_external!I4),(100*Input_external!J5/Input_external!I4),".")</f>
        <v>8.52135262556149</v>
      </c>
      <c r="G41" s="83">
        <f>IF(ISNUMBER(100*Input_external!K5/Input_external!J4),(100*Input_external!K5/Input_external!J4),".")</f>
        <v>7.469868475321937</v>
      </c>
      <c r="H41" s="83">
        <f>IF(ISNUMBER(100*Input_external!L5/Input_external!K4),(100*Input_external!L5/Input_external!K4),".")</f>
        <v>12.563983248022335</v>
      </c>
      <c r="I41" s="83">
        <f>IF(ISNUMBER(100*Input_external!M5/Input_external!L4),(100*Input_external!M5/Input_external!L4),".")</f>
        <v>4.098360655737705</v>
      </c>
      <c r="J41" s="83">
        <f>IF(ISNUMBER(100*Input_external!N5/Input_external!M4),(100*Input_external!N5/Input_external!M4),".")</f>
        <v>3.278688524590164</v>
      </c>
      <c r="K41" s="102">
        <f>IF(ISNUMBER(100*Input_external!O5/Input_external!N4),(100*Input_external!O5/Input_external!N4),".")</f>
        <v>2.8711366323256207</v>
      </c>
      <c r="L41" s="102">
        <f>IF(ISNUMBER(100*Input_external!P5/Input_external!O4),(100*Input_external!P5/Input_external!O4),".")</f>
        <v>1.9342257733825916</v>
      </c>
      <c r="M41" s="102">
        <f>IF(ISNUMBER(100*Input_external!Q5/Input_external!P4),(100*Input_external!Q5/Input_external!P4),".")</f>
        <v>2.18636103076144</v>
      </c>
      <c r="N41" s="102"/>
      <c r="O41" s="102">
        <f>Table!O42</f>
        <v>6.255051331167772</v>
      </c>
      <c r="P41" s="85"/>
      <c r="Q41" s="102">
        <f>Table!Q42</f>
        <v>3.8399479075665797</v>
      </c>
      <c r="R41" s="102"/>
      <c r="S41" s="102">
        <f>IF(ISNUMBER(100*Input_external!R5/Input_external!Q4),(100*Input_external!R5/Input_external!Q4),".")</f>
        <v>2.457618941884664</v>
      </c>
      <c r="T41" s="102">
        <f>IF(ISNUMBER(100*Input_external!S5/Input_external!R4),(100*Input_external!S5/Input_external!R4),".")</f>
        <v>2.502122819976412</v>
      </c>
      <c r="U41" s="102">
        <f>IF(ISNUMBER(100*Input_external!T5/Input_external!S4),(100*Input_external!T5/Input_external!S4),".")</f>
        <v>2.5129755377379275</v>
      </c>
      <c r="V41" s="102">
        <f>IF(ISNUMBER(100*Input_external!U5/Input_external!T4),(100*Input_external!U5/Input_external!T4),".")</f>
        <v>2.8998508502124674</v>
      </c>
      <c r="W41" s="102">
        <f>IF(ISNUMBER(100*Input_external!V5/Input_external!U4),(100*Input_external!V5/Input_external!U4),".")</f>
        <v>2.9137878792874496</v>
      </c>
      <c r="X41" s="102">
        <f>IF(ISNUMBER(100*Input_external!W5/Input_external!V4),(100*Input_external!W5/Input_external!V4),".")</f>
        <v>2.901592925791173</v>
      </c>
      <c r="Y41" s="102">
        <f>X41</f>
        <v>2.901592925791173</v>
      </c>
      <c r="Z41" s="102"/>
      <c r="AA41" s="113"/>
    </row>
    <row r="42" spans="2:27" ht="12.75">
      <c r="B42" s="107" t="s">
        <v>69</v>
      </c>
      <c r="C42" s="11"/>
      <c r="D42" s="18">
        <f>(Input_external!H7/Input_external!G7-1)*100</f>
        <v>0.03679668829805749</v>
      </c>
      <c r="E42" s="18">
        <f>(Input_external!I7/Input_external!H7-1)*100</f>
        <v>30.09041858828656</v>
      </c>
      <c r="F42" s="83">
        <f>(Input_external!J7/Input_external!I7-1)*100</f>
        <v>30.88812139838646</v>
      </c>
      <c r="G42" s="83">
        <f>(Input_external!K7/Input_external!J7-1)*100</f>
        <v>43.351173568861334</v>
      </c>
      <c r="H42" s="83">
        <f>(Input_external!L7/Input_external!K7-1)*100</f>
        <v>17.362817362817353</v>
      </c>
      <c r="I42" s="83">
        <f>(Input_external!M7/Input_external!L7-1)*100</f>
        <v>10.746685275645484</v>
      </c>
      <c r="J42" s="83">
        <f>(Input_external!N7/Input_external!M7-1)*100</f>
        <v>29.304024889729053</v>
      </c>
      <c r="K42" s="102">
        <f>(Input_external!O7/Input_external!N7-1)*100</f>
        <v>-41.31420583964647</v>
      </c>
      <c r="L42" s="102">
        <f>(Input_external!P7/Input_external!O7-1)*100</f>
        <v>25.970139332677444</v>
      </c>
      <c r="M42" s="102">
        <f>(Input_external!Q7/Input_external!P7-1)*100</f>
        <v>26.57877107911211</v>
      </c>
      <c r="N42" s="102"/>
      <c r="O42" s="102">
        <f>Table!O43</f>
        <v>17.301474234416737</v>
      </c>
      <c r="P42" s="94"/>
      <c r="Q42" s="102">
        <f>Table!Q43</f>
        <v>23.825411714789603</v>
      </c>
      <c r="R42" s="102"/>
      <c r="S42" s="102">
        <f>(Input_external!R7/Input_external!Q7-1)*100</f>
        <v>-8.314751312826118</v>
      </c>
      <c r="T42" s="102">
        <f>(Input_external!S7/Input_external!R7-1)*100</f>
        <v>-3.3885534213677904</v>
      </c>
      <c r="U42" s="102">
        <f>(Input_external!T7/Input_external!S7-1)*100</f>
        <v>0.6925607957811497</v>
      </c>
      <c r="V42" s="102">
        <f>(Input_external!U7/Input_external!T7-1)*100</f>
        <v>-2.349152716427272</v>
      </c>
      <c r="W42" s="102">
        <f>(Input_external!V7/Input_external!U7-1)*100</f>
        <v>-0.4436811669179752</v>
      </c>
      <c r="X42" s="102">
        <f>(Input_external!W7/Input_external!V7-1)*100</f>
        <v>0.7579990791025448</v>
      </c>
      <c r="Y42" s="102"/>
      <c r="Z42" s="102"/>
      <c r="AA42" s="113"/>
    </row>
    <row r="43" spans="2:27" ht="12.75">
      <c r="B43" s="107" t="s">
        <v>70</v>
      </c>
      <c r="C43" s="11"/>
      <c r="D43" s="18">
        <f>(Input_external!H8/Input_external!G8-1)*100</f>
        <v>21.540010065425253</v>
      </c>
      <c r="E43" s="18">
        <f>(Input_external!I8/Input_external!H8-1)*100</f>
        <v>12.298136645962732</v>
      </c>
      <c r="F43" s="83">
        <f>(Input_external!J8/Input_external!I8-1)*100</f>
        <v>34.05850540806294</v>
      </c>
      <c r="G43" s="83">
        <f>(Input_external!K8/Input_external!J8-1)*100</f>
        <v>12.941230402493819</v>
      </c>
      <c r="H43" s="83">
        <f>(Input_external!L8/Input_external!K8-1)*100</f>
        <v>3.340504119819787</v>
      </c>
      <c r="I43" s="83">
        <f>(Input_external!M8/Input_external!L8-1)*100</f>
        <v>30.714846818538888</v>
      </c>
      <c r="J43" s="83">
        <f>(Input_external!N8/Input_external!M8-1)*100</f>
        <v>47.44591346153846</v>
      </c>
      <c r="K43" s="102">
        <f>(Input_external!O8/Input_external!N8-1)*100</f>
        <v>0.020379050336249982</v>
      </c>
      <c r="L43" s="102">
        <f>(Input_external!P8/Input_external!O8-1)*100</f>
        <v>3.4839262428687734</v>
      </c>
      <c r="M43" s="102">
        <f>(Input_external!Q8/Input_external!P8-1)*100</f>
        <v>11.325841860618159</v>
      </c>
      <c r="N43" s="102"/>
      <c r="O43" s="102">
        <f>Table!O44</f>
        <v>17.716929407566504</v>
      </c>
      <c r="P43" s="94"/>
      <c r="Q43" s="102">
        <f>Table!Q44</f>
        <v>15.455548789637326</v>
      </c>
      <c r="R43" s="102"/>
      <c r="S43" s="102">
        <f>(Input_external!R8/Input_external!Q8-1)*100</f>
        <v>1.6240463094898239</v>
      </c>
      <c r="T43" s="102">
        <f>(Input_external!S8/Input_external!R8-1)*100</f>
        <v>1.3781896600373544</v>
      </c>
      <c r="U43" s="102">
        <f>(Input_external!T8/Input_external!S8-1)*100</f>
        <v>0.22698804068845835</v>
      </c>
      <c r="V43" s="102">
        <f>(Input_external!U8/Input_external!T8-1)*100</f>
        <v>-1.3526992764481216</v>
      </c>
      <c r="W43" s="102">
        <f>(Input_external!V8/Input_external!U8-1)*100</f>
        <v>0.2609175789251905</v>
      </c>
      <c r="X43" s="102">
        <f>(Input_external!W8/Input_external!V8-1)*100</f>
        <v>2.1076190543933393</v>
      </c>
      <c r="Y43" s="102"/>
      <c r="Z43" s="102"/>
      <c r="AA43" s="113"/>
    </row>
    <row r="44" spans="2:27" ht="12.75">
      <c r="B44" s="82" t="s">
        <v>121</v>
      </c>
      <c r="C44" s="11"/>
      <c r="D44" s="18">
        <f aca="true" t="shared" si="21" ref="D44:M44">-D13</f>
        <v>11.85531648987353</v>
      </c>
      <c r="E44" s="18">
        <f t="shared" si="21"/>
        <v>16.043957123545873</v>
      </c>
      <c r="F44" s="83">
        <f t="shared" si="21"/>
        <v>15.356985015745572</v>
      </c>
      <c r="G44" s="83">
        <f t="shared" si="21"/>
        <v>22.10128010482221</v>
      </c>
      <c r="H44" s="83">
        <f t="shared" si="21"/>
        <v>26.5243790871535</v>
      </c>
      <c r="I44" s="83">
        <f t="shared" si="21"/>
        <v>22.955499473469303</v>
      </c>
      <c r="J44" s="83">
        <f t="shared" si="21"/>
        <v>20.173950961975272</v>
      </c>
      <c r="K44" s="83">
        <f t="shared" si="21"/>
        <v>0.4208268083538204</v>
      </c>
      <c r="L44" s="83">
        <f t="shared" si="21"/>
        <v>7.613319237580539</v>
      </c>
      <c r="M44" s="83">
        <f t="shared" si="21"/>
        <v>10.397963540003312</v>
      </c>
      <c r="N44" s="102"/>
      <c r="O44" s="102">
        <f>Table!O45</f>
        <v>15.344347784252289</v>
      </c>
      <c r="P44" s="102"/>
      <c r="Q44" s="102">
        <f>Table!Q45</f>
        <v>7.968785501420509</v>
      </c>
      <c r="R44" s="102"/>
      <c r="S44" s="83">
        <f aca="true" t="shared" si="22" ref="S44:X44">-S13</f>
        <v>5.628884513488823</v>
      </c>
      <c r="T44" s="83">
        <f t="shared" si="22"/>
        <v>3.7382996960749435</v>
      </c>
      <c r="U44" s="83">
        <f t="shared" si="22"/>
        <v>4.095450899101573</v>
      </c>
      <c r="V44" s="83">
        <f t="shared" si="22"/>
        <v>3.9974138665881767</v>
      </c>
      <c r="W44" s="83">
        <f t="shared" si="22"/>
        <v>4.045665893725947</v>
      </c>
      <c r="X44" s="83">
        <f t="shared" si="22"/>
        <v>4.71240026515964</v>
      </c>
      <c r="Y44" s="83"/>
      <c r="Z44" s="83"/>
      <c r="AA44" s="113"/>
    </row>
    <row r="45" spans="2:27" ht="12.75">
      <c r="B45" s="82" t="s">
        <v>62</v>
      </c>
      <c r="C45" s="11"/>
      <c r="D45" s="18">
        <f aca="true" t="shared" si="23" ref="D45:M45">-D17</f>
        <v>1.7089290483771113</v>
      </c>
      <c r="E45" s="18">
        <f t="shared" si="23"/>
        <v>0.913597852369438</v>
      </c>
      <c r="F45" s="83">
        <f t="shared" si="23"/>
        <v>0.726476529600182</v>
      </c>
      <c r="G45" s="83">
        <f t="shared" si="23"/>
        <v>1.0269301236624533</v>
      </c>
      <c r="H45" s="83">
        <f t="shared" si="23"/>
        <v>1.5005756089164308</v>
      </c>
      <c r="I45" s="83">
        <f t="shared" si="23"/>
        <v>1.0200789581139456</v>
      </c>
      <c r="J45" s="83">
        <f t="shared" si="23"/>
        <v>1.4500564382631769</v>
      </c>
      <c r="K45" s="83">
        <f t="shared" si="23"/>
        <v>1.8410647364717936</v>
      </c>
      <c r="L45" s="83">
        <f t="shared" si="23"/>
        <v>1.1817437382774247</v>
      </c>
      <c r="M45" s="83">
        <f t="shared" si="23"/>
        <v>0.8809882228706428</v>
      </c>
      <c r="N45" s="102"/>
      <c r="O45" s="102">
        <f>Table!O46</f>
        <v>1.22504412569226</v>
      </c>
      <c r="P45" s="102"/>
      <c r="Q45" s="102">
        <f>Table!Q46</f>
        <v>0.3781904054456329</v>
      </c>
      <c r="R45" s="102"/>
      <c r="S45" s="83">
        <f aca="true" t="shared" si="24" ref="S45:X45">-S17</f>
        <v>0.8439007951753188</v>
      </c>
      <c r="T45" s="83">
        <f t="shared" si="24"/>
        <v>0.9677358558458236</v>
      </c>
      <c r="U45" s="83">
        <f t="shared" si="24"/>
        <v>0.9240912147629262</v>
      </c>
      <c r="V45" s="83">
        <f t="shared" si="24"/>
        <v>0.8935420334131181</v>
      </c>
      <c r="W45" s="83">
        <f t="shared" si="24"/>
        <v>0.8585705162336255</v>
      </c>
      <c r="X45" s="83">
        <f t="shared" si="24"/>
        <v>0.867825187332338</v>
      </c>
      <c r="Y45" s="83"/>
      <c r="Z45" s="83"/>
      <c r="AA45" s="113"/>
    </row>
    <row r="46" spans="2:28" ht="12.75" hidden="1">
      <c r="B46" s="11"/>
      <c r="C46" s="11"/>
      <c r="Z46" s="61"/>
      <c r="AA46" s="80"/>
      <c r="AB46" s="1"/>
    </row>
    <row r="47" spans="2:28" ht="4.5" customHeight="1" hidden="1">
      <c r="B47" s="1"/>
      <c r="Z47" s="35"/>
      <c r="AA47" s="61"/>
      <c r="AB47" s="1"/>
    </row>
    <row r="48" ht="12.75" hidden="1"/>
    <row r="49" spans="2:28" ht="8.25" customHeight="1" hidden="1">
      <c r="B49" s="45"/>
      <c r="S49" s="35"/>
      <c r="T49" s="35"/>
      <c r="U49" s="35"/>
      <c r="V49" s="35"/>
      <c r="W49" s="35"/>
      <c r="X49" s="35"/>
      <c r="Y49" s="35"/>
      <c r="AB49" s="47"/>
    </row>
    <row r="50" spans="2:28" ht="12.75" hidden="1">
      <c r="B50" s="66" t="s">
        <v>126</v>
      </c>
      <c r="S50" s="35"/>
      <c r="T50" s="35"/>
      <c r="U50" s="35"/>
      <c r="V50" s="35"/>
      <c r="W50" s="35"/>
      <c r="X50" s="35"/>
      <c r="Y50" s="35"/>
      <c r="AB50" s="47"/>
    </row>
    <row r="51" spans="2:28" ht="6" customHeight="1" hidden="1">
      <c r="B51" s="66"/>
      <c r="S51" s="35"/>
      <c r="T51" s="35"/>
      <c r="U51" s="35"/>
      <c r="V51" s="35"/>
      <c r="W51" s="35"/>
      <c r="X51" s="35"/>
      <c r="Y51" s="35"/>
      <c r="AB51" s="47"/>
    </row>
    <row r="52" spans="2:28" ht="12.75" hidden="1">
      <c r="B52" t="s">
        <v>150</v>
      </c>
      <c r="S52" s="40">
        <f>'B1_irate'!O12</f>
        <v>2.514588096821696</v>
      </c>
      <c r="T52" s="40">
        <f>'B1_irate'!P12</f>
        <v>2.4621394146635907</v>
      </c>
      <c r="U52" s="40">
        <f>'B1_irate'!Q12</f>
        <v>2.3988657791560315</v>
      </c>
      <c r="V52" s="40">
        <f>'B1_irate'!R12</f>
        <v>2.3267360705535194</v>
      </c>
      <c r="W52" s="40">
        <f>'B1_irate'!S12</f>
        <v>2.263041144210695</v>
      </c>
      <c r="X52" s="40">
        <f>'B1_irate'!T12</f>
        <v>2.1799815522750605</v>
      </c>
      <c r="Y52" s="40"/>
      <c r="Z52" s="40"/>
      <c r="AA52" s="71">
        <f>-'B1_irate'!U16</f>
        <v>-0.8768728743002627</v>
      </c>
      <c r="AB52" s="47"/>
    </row>
    <row r="53" spans="2:28" ht="12.75" hidden="1">
      <c r="B53" t="s">
        <v>151</v>
      </c>
      <c r="S53" s="40">
        <f>'B2_GDP'!O12</f>
        <v>2.514588096821696</v>
      </c>
      <c r="T53" s="40">
        <f>'B2_GDP'!P12</f>
        <v>2.6338914644185203</v>
      </c>
      <c r="U53" s="40">
        <f>'B2_GDP'!Q12</f>
        <v>2.871434140579456</v>
      </c>
      <c r="V53" s="40">
        <f>'B2_GDP'!R12</f>
        <v>3.1980787459086373</v>
      </c>
      <c r="W53" s="40">
        <f>'B2_GDP'!S12</f>
        <v>3.64539739102818</v>
      </c>
      <c r="X53" s="40">
        <f>'B2_GDP'!T12</f>
        <v>4.2848020772661375</v>
      </c>
      <c r="Y53" s="40"/>
      <c r="Z53" s="40"/>
      <c r="AA53" s="71">
        <f>-'B2_GDP'!U16</f>
        <v>-1.0743263900572977</v>
      </c>
      <c r="AB53" s="47"/>
    </row>
    <row r="54" spans="2:28" ht="12.75" hidden="1">
      <c r="B54" t="s">
        <v>152</v>
      </c>
      <c r="S54" s="40">
        <f>'B3_CAB'!O12</f>
        <v>2.514588096821696</v>
      </c>
      <c r="T54" s="40">
        <f>'B3_CAB'!P12</f>
        <v>6.400014248112379</v>
      </c>
      <c r="U54" s="40">
        <f>'B3_CAB'!Q12</f>
        <v>10.174724241367526</v>
      </c>
      <c r="V54" s="40">
        <f>'B3_CAB'!R12</f>
        <v>13.948695576185505</v>
      </c>
      <c r="W54" s="40">
        <f>'B3_CAB'!S12</f>
        <v>17.6107522148321</v>
      </c>
      <c r="X54" s="40">
        <f>'B3_CAB'!T12</f>
        <v>21.127156794799014</v>
      </c>
      <c r="Y54" s="40"/>
      <c r="Z54" s="40"/>
      <c r="AA54" s="71">
        <f>-'B3_CAB'!U16</f>
        <v>-1.3408817227658312</v>
      </c>
      <c r="AB54" s="47"/>
    </row>
    <row r="55" spans="2:28" ht="12.75" hidden="1">
      <c r="B55" t="s">
        <v>164</v>
      </c>
      <c r="J55" s="28"/>
      <c r="K55" s="40"/>
      <c r="L55" s="40"/>
      <c r="M55" s="40"/>
      <c r="N55" s="40"/>
      <c r="O55" s="40"/>
      <c r="P55" s="40"/>
      <c r="Q55" s="40"/>
      <c r="R55" s="40"/>
      <c r="S55" s="40">
        <f>'B4_Combined'!O12</f>
        <v>2.514588096821696</v>
      </c>
      <c r="T55" s="40">
        <f>'B4_Combined'!P12</f>
        <v>4.624343085691031</v>
      </c>
      <c r="U55" s="40">
        <f>'B4_Combined'!Q12</f>
        <v>6.808145490436955</v>
      </c>
      <c r="V55" s="40">
        <f>'B4_Combined'!R12</f>
        <v>9.095367384107089</v>
      </c>
      <c r="W55" s="40">
        <f>'B4_Combined'!S12</f>
        <v>11.448315099952183</v>
      </c>
      <c r="X55" s="40">
        <f>'B4_Combined'!T12</f>
        <v>13.92047622029952</v>
      </c>
      <c r="Y55" s="40"/>
      <c r="Z55" s="40"/>
      <c r="AA55" s="71">
        <f>-'B4_Combined'!U16</f>
        <v>-1.1225971203498177</v>
      </c>
      <c r="AB55" s="47"/>
    </row>
    <row r="56" spans="2:28" ht="12.75" hidden="1">
      <c r="B56" t="s">
        <v>149</v>
      </c>
      <c r="S56" s="40">
        <f>'B5_Depreciation'!O12</f>
        <v>2.514588096821696</v>
      </c>
      <c r="T56" s="40">
        <f>'B5_Depreciation'!P12</f>
        <v>3.257152799669518</v>
      </c>
      <c r="U56" s="40">
        <f>'B5_Depreciation'!Q12</f>
        <v>3.1047008779995235</v>
      </c>
      <c r="V56" s="40">
        <f>'B5_Depreciation'!R12</f>
        <v>2.9311007203896717</v>
      </c>
      <c r="W56" s="40">
        <f>'B5_Depreciation'!S12</f>
        <v>2.7767192511712087</v>
      </c>
      <c r="X56" s="40">
        <f>'B5_Depreciation'!T12</f>
        <v>2.595834036504279</v>
      </c>
      <c r="Y56" s="40"/>
      <c r="Z56" s="40"/>
      <c r="AA56" s="71">
        <f>-'B5_Depreciation'!U16</f>
        <v>-1.456591014978854</v>
      </c>
      <c r="AB56" s="47"/>
    </row>
    <row r="57" ht="4.5" customHeight="1">
      <c r="AA57" s="42"/>
    </row>
    <row r="58" spans="2:27" ht="6.75" customHeight="1">
      <c r="B58" s="3"/>
      <c r="C58" s="3"/>
      <c r="D58" s="3"/>
      <c r="E58" s="3"/>
      <c r="F58" s="38"/>
      <c r="G58" s="38"/>
      <c r="H58" s="38"/>
      <c r="I58" s="38"/>
      <c r="J58" s="38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2:26" ht="12.75">
      <c r="B59" s="125" t="s">
        <v>183</v>
      </c>
      <c r="C59" s="5"/>
      <c r="D59" s="5"/>
      <c r="E59" s="5"/>
      <c r="F59" s="21"/>
      <c r="G59" s="21"/>
      <c r="H59" s="21"/>
      <c r="I59" s="21"/>
      <c r="J59" s="21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2:26" ht="12.75">
      <c r="B60" s="126" t="s">
        <v>184</v>
      </c>
      <c r="C60" s="5"/>
      <c r="D60" s="5"/>
      <c r="E60" s="5"/>
      <c r="F60" s="21"/>
      <c r="G60" s="21"/>
      <c r="H60" s="21"/>
      <c r="I60" s="21"/>
      <c r="J60" s="21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2:3" ht="12.75">
      <c r="B61" s="127" t="s">
        <v>185</v>
      </c>
      <c r="C61" s="10"/>
    </row>
    <row r="62" spans="2:3" ht="12.75">
      <c r="B62" s="127" t="s">
        <v>142</v>
      </c>
      <c r="C62" s="10"/>
    </row>
    <row r="63" spans="2:3" ht="12.75">
      <c r="B63" s="127" t="s">
        <v>135</v>
      </c>
      <c r="C63" s="10"/>
    </row>
    <row r="64" ht="12.75">
      <c r="B64" s="127" t="s">
        <v>136</v>
      </c>
    </row>
    <row r="65" ht="12.75">
      <c r="B65" s="127" t="s">
        <v>165</v>
      </c>
    </row>
    <row r="66" ht="12.75">
      <c r="B66" s="128" t="s">
        <v>141</v>
      </c>
    </row>
  </sheetData>
  <sheetProtection/>
  <mergeCells count="4">
    <mergeCell ref="F5:M5"/>
    <mergeCell ref="S8:X8"/>
    <mergeCell ref="B1:AA1"/>
    <mergeCell ref="B2:AA2"/>
  </mergeCells>
  <printOptions horizontalCentered="1" verticalCentered="1"/>
  <pageMargins left="0.5" right="0.75" top="0.25" bottom="0.25" header="0.5" footer="0.5"/>
  <pageSetup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FFFF"/>
    <pageSetUpPr fitToPage="1"/>
  </sheetPr>
  <dimension ref="U5:EH44"/>
  <sheetViews>
    <sheetView showGridLines="0" showRowColHeaders="0" zoomScalePageLayoutView="0" workbookViewId="0" topLeftCell="A1">
      <selection activeCell="DP159" sqref="DP159"/>
    </sheetView>
  </sheetViews>
  <sheetFormatPr defaultColWidth="1.0078125" defaultRowHeight="3" customHeight="1"/>
  <cols>
    <col min="1" max="16384" width="1.0078125" style="76" customWidth="1"/>
  </cols>
  <sheetData>
    <row r="5" spans="22:23" ht="3" customHeight="1">
      <c r="V5" s="76">
        <f aca="true" t="shared" si="0" ref="V5:W7">ROUND(P5,1)</f>
        <v>0</v>
      </c>
      <c r="W5" s="76">
        <f t="shared" si="0"/>
        <v>0</v>
      </c>
    </row>
    <row r="6" spans="21:23" ht="3" customHeight="1">
      <c r="U6" s="76">
        <f>ROUND(O6,1)</f>
        <v>0</v>
      </c>
      <c r="V6" s="76">
        <f t="shared" si="0"/>
        <v>0</v>
      </c>
      <c r="W6" s="76">
        <f t="shared" si="0"/>
        <v>0</v>
      </c>
    </row>
    <row r="7" spans="21:23" ht="3" customHeight="1">
      <c r="U7" s="76">
        <f>ROUND(O7,1)</f>
        <v>0</v>
      </c>
      <c r="V7" s="76">
        <f t="shared" si="0"/>
        <v>0</v>
      </c>
      <c r="W7" s="76">
        <f t="shared" si="0"/>
        <v>0</v>
      </c>
    </row>
    <row r="9" spans="21:23" ht="3" customHeight="1">
      <c r="U9" s="76">
        <v>6.6</v>
      </c>
      <c r="V9" s="76">
        <v>0</v>
      </c>
      <c r="W9" s="76">
        <v>0</v>
      </c>
    </row>
    <row r="10" spans="21:23" ht="3" customHeight="1">
      <c r="U10" s="76">
        <v>0</v>
      </c>
      <c r="V10" s="76">
        <v>0</v>
      </c>
      <c r="W10" s="76">
        <v>0</v>
      </c>
    </row>
    <row r="11" spans="21:23" ht="3" customHeight="1">
      <c r="U11" s="76">
        <v>0</v>
      </c>
      <c r="V11" s="76">
        <v>0</v>
      </c>
      <c r="W11" s="76">
        <v>0</v>
      </c>
    </row>
    <row r="36" ht="3" customHeight="1">
      <c r="DE36" s="76">
        <f>ROUND(CY36,1)</f>
        <v>0</v>
      </c>
    </row>
    <row r="44" ht="3" customHeight="1">
      <c r="EH44" s="76">
        <f>ROUND(EB44,1)</f>
        <v>0</v>
      </c>
    </row>
  </sheetData>
  <sheetProtection/>
  <printOptions horizontalCentered="1"/>
  <pageMargins left="1" right="0.75" top="0.5" bottom="0.5" header="0.6" footer="0.25"/>
  <pageSetup fitToHeight="1" fitToWidth="1" horizontalDpi="600" verticalDpi="600" orientation="portrait" scale="98" r:id="rId2"/>
  <headerFooter alignWithMargins="0">
    <oddFooter xml:space="preserve">&amp;R
&amp;9&amp;Z&amp;F &amp;A &amp;D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71"/>
  <sheetViews>
    <sheetView zoomScalePageLayoutView="0" workbookViewId="0" topLeftCell="A1">
      <pane xSplit="2" ySplit="8" topLeftCell="I9" activePane="bottomRight" state="frozen"/>
      <selection pane="topLeft" activeCell="B3" sqref="B3:T3"/>
      <selection pane="topRight" activeCell="B3" sqref="B3:T3"/>
      <selection pane="bottomLeft" activeCell="B3" sqref="B3:T3"/>
      <selection pane="bottomRight" activeCell="S39" sqref="S39:X39"/>
    </sheetView>
  </sheetViews>
  <sheetFormatPr defaultColWidth="9.33203125" defaultRowHeight="12.75"/>
  <cols>
    <col min="1" max="1" width="4.5" style="0" customWidth="1"/>
    <col min="2" max="2" width="71.5" style="0" customWidth="1"/>
    <col min="3" max="3" width="8.83203125" style="0" hidden="1" customWidth="1"/>
    <col min="4" max="5" width="7" style="0" hidden="1" customWidth="1"/>
    <col min="6" max="6" width="7" style="18" hidden="1" customWidth="1"/>
    <col min="7" max="7" width="8.33203125" style="18" hidden="1" customWidth="1"/>
    <col min="8" max="8" width="7" style="18" hidden="1" customWidth="1"/>
    <col min="9" max="10" width="8.83203125" style="18" customWidth="1"/>
    <col min="11" max="13" width="8.83203125" style="42" customWidth="1"/>
    <col min="14" max="14" width="2.16015625" style="42" customWidth="1"/>
    <col min="15" max="15" width="9.33203125" style="42" customWidth="1"/>
    <col min="16" max="16" width="1.5" style="42" customWidth="1"/>
    <col min="17" max="17" width="9.5" style="42" bestFit="1" customWidth="1"/>
    <col min="18" max="18" width="2.33203125" style="42" customWidth="1"/>
    <col min="19" max="24" width="8.83203125" style="42" customWidth="1"/>
    <col min="25" max="25" width="12" style="42" customWidth="1"/>
    <col min="26" max="26" width="1.83203125" style="42" customWidth="1"/>
    <col min="27" max="27" width="17.83203125" style="0" customWidth="1"/>
  </cols>
  <sheetData>
    <row r="1" spans="19:24" ht="12.75">
      <c r="S1" s="42">
        <v>2.515348346198772</v>
      </c>
      <c r="T1" s="42">
        <v>2.423619941586719</v>
      </c>
      <c r="U1" s="42">
        <v>2.3221056151532307</v>
      </c>
      <c r="V1" s="42">
        <v>2.2079368438680325</v>
      </c>
      <c r="W1" s="42">
        <v>2.10573823300356</v>
      </c>
      <c r="X1" s="42">
        <v>1.984255095738753</v>
      </c>
    </row>
    <row r="3" spans="2:27" ht="15">
      <c r="B3" s="132" t="str">
        <f>"External Debt Sustainability Framework, "&amp;I8&amp;"-"&amp;X8</f>
        <v>External Debt Sustainability Framework, 2010-2020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4" spans="2:27" ht="15">
      <c r="B4" s="132" t="s">
        <v>27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</row>
    <row r="5" spans="10:27" ht="8.25" customHeight="1">
      <c r="J5" s="28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2:27" ht="5.25" customHeight="1">
      <c r="B6" s="2"/>
      <c r="C6" s="2"/>
      <c r="D6" s="2"/>
      <c r="E6" s="2"/>
      <c r="F6" s="29"/>
      <c r="G6" s="29"/>
      <c r="H6" s="29"/>
      <c r="I6" s="29"/>
      <c r="J6" s="29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2:27" ht="12.75">
      <c r="B7" s="17"/>
      <c r="C7" s="17"/>
      <c r="D7" s="17"/>
      <c r="E7" s="17"/>
      <c r="F7" s="130" t="s">
        <v>24</v>
      </c>
      <c r="G7" s="130"/>
      <c r="H7" s="130"/>
      <c r="I7" s="130"/>
      <c r="J7" s="130"/>
      <c r="K7" s="130"/>
      <c r="L7" s="130"/>
      <c r="M7" s="130"/>
      <c r="N7" s="53"/>
      <c r="O7" s="53"/>
      <c r="P7" s="53"/>
      <c r="Q7" s="53"/>
      <c r="R7" s="53"/>
      <c r="S7" s="54" t="s">
        <v>21</v>
      </c>
      <c r="T7" s="54"/>
      <c r="U7" s="54"/>
      <c r="V7" s="54"/>
      <c r="W7" s="54"/>
      <c r="X7" s="54"/>
      <c r="Y7" s="54"/>
      <c r="Z7" s="54"/>
      <c r="AA7" s="54"/>
    </row>
    <row r="8" spans="2:27" ht="12.75">
      <c r="B8" s="4"/>
      <c r="C8" s="33">
        <f aca="true" t="shared" si="0" ref="C8:K8">D8-1</f>
        <v>2004</v>
      </c>
      <c r="D8" s="33">
        <f t="shared" si="0"/>
        <v>2005</v>
      </c>
      <c r="E8" s="33">
        <f t="shared" si="0"/>
        <v>2006</v>
      </c>
      <c r="F8" s="33">
        <f t="shared" si="0"/>
        <v>2007</v>
      </c>
      <c r="G8" s="33">
        <f t="shared" si="0"/>
        <v>2008</v>
      </c>
      <c r="H8" s="33">
        <f t="shared" si="0"/>
        <v>2009</v>
      </c>
      <c r="I8" s="33">
        <f t="shared" si="0"/>
        <v>2010</v>
      </c>
      <c r="J8" s="33">
        <f t="shared" si="0"/>
        <v>2011</v>
      </c>
      <c r="K8" s="33">
        <f t="shared" si="0"/>
        <v>2012</v>
      </c>
      <c r="L8" s="33">
        <f>M8-1</f>
        <v>2013</v>
      </c>
      <c r="M8" s="63">
        <f>S8-1</f>
        <v>2014</v>
      </c>
      <c r="N8" s="33"/>
      <c r="O8" s="33"/>
      <c r="P8" s="33"/>
      <c r="Q8" s="33"/>
      <c r="R8" s="33"/>
      <c r="S8" s="33" t="str">
        <f>LEFT(Input_external!R3,4)</f>
        <v>2015</v>
      </c>
      <c r="T8" s="33">
        <f>S8+1</f>
        <v>2016</v>
      </c>
      <c r="U8" s="33">
        <f>T8+1</f>
        <v>2017</v>
      </c>
      <c r="V8" s="33">
        <f>U8+1</f>
        <v>2018</v>
      </c>
      <c r="W8" s="33">
        <f>V8+1</f>
        <v>2019</v>
      </c>
      <c r="X8" s="33">
        <f>W8+1</f>
        <v>2020</v>
      </c>
      <c r="Y8" s="33"/>
      <c r="Z8" s="33"/>
      <c r="AA8" s="33"/>
    </row>
    <row r="9" spans="2:27" ht="12.75">
      <c r="B9" s="5"/>
      <c r="C9" s="5"/>
      <c r="D9" s="23"/>
      <c r="E9" s="23"/>
      <c r="F9" s="21"/>
      <c r="G9" s="21"/>
      <c r="H9" s="21"/>
      <c r="I9" s="21"/>
      <c r="J9" s="21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61" t="s">
        <v>113</v>
      </c>
    </row>
    <row r="10" spans="3:27" ht="12.75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131" t="s">
        <v>133</v>
      </c>
      <c r="T10" s="131"/>
      <c r="U10" s="131"/>
      <c r="V10" s="131"/>
      <c r="W10" s="131"/>
      <c r="X10" s="131"/>
      <c r="Y10" s="61"/>
      <c r="Z10" s="61"/>
      <c r="AA10" s="61" t="s">
        <v>114</v>
      </c>
    </row>
    <row r="11" spans="2:27" ht="12.75">
      <c r="B11" s="5"/>
      <c r="C11" s="5"/>
      <c r="D11" s="21"/>
      <c r="E11" s="21"/>
      <c r="F11" s="21"/>
      <c r="G11" s="21"/>
      <c r="H11" s="21"/>
      <c r="I11" s="21"/>
      <c r="J11" s="21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61" t="s">
        <v>130</v>
      </c>
    </row>
    <row r="12" spans="1:27" ht="12.75">
      <c r="A12">
        <f>A30+1</f>
        <v>1</v>
      </c>
      <c r="B12" s="1" t="s">
        <v>1</v>
      </c>
      <c r="C12" s="18">
        <f>Input_external!G4/Table!C37*100</f>
        <v>41.467145679070754</v>
      </c>
      <c r="D12" s="18">
        <f>Input_external!H4/Table!D37*100</f>
        <v>39.890279910674806</v>
      </c>
      <c r="E12" s="18">
        <f>Input_external!I4/Table!E37*100</f>
        <v>34.41184194543343</v>
      </c>
      <c r="F12" s="18">
        <f>Input_external!J4/Table!F37*100</f>
        <v>25.56845863291222</v>
      </c>
      <c r="G12" s="18">
        <f>Input_external!K4/Table!G37*100</f>
        <v>16.655644043400844</v>
      </c>
      <c r="H12" s="18">
        <f>Input_external!L4/Table!H37*100</f>
        <v>4.78478995297671</v>
      </c>
      <c r="I12" s="18">
        <f>Input_external!M4/Table!I37*100</f>
        <v>4.314859534503879</v>
      </c>
      <c r="J12" s="18">
        <f>Input_external!N4/Table!J37*100</f>
        <v>3.4481060927535223</v>
      </c>
      <c r="K12" s="18">
        <f>Input_external!O4/Table!K37*100</f>
        <v>4.122122200101253</v>
      </c>
      <c r="L12" s="18">
        <f>Input_external!P4/Table!L37*100</f>
        <v>3.533196087813501</v>
      </c>
      <c r="M12" s="18">
        <f>Input_external!Q4/Table!M37*100</f>
        <v>2.6753682908552867</v>
      </c>
      <c r="N12" s="18"/>
      <c r="O12" s="18"/>
      <c r="P12" s="18"/>
      <c r="Q12" s="18"/>
      <c r="R12" s="18"/>
      <c r="S12" s="28">
        <f>Input_external!R4/Table!S37*100</f>
        <v>2.456394533865412</v>
      </c>
      <c r="T12" s="28">
        <f>Input_external!S4/Table!T37*100</f>
        <v>2.317377196639941</v>
      </c>
      <c r="U12" s="28">
        <f>Input_external!T4/Table!U37*100</f>
        <v>2.181349788458221</v>
      </c>
      <c r="V12" s="28">
        <f>Input_external!U4/Table!V37*100</f>
        <v>2.03850616806054</v>
      </c>
      <c r="W12" s="28">
        <f>Input_external!V4/Table!W37*100</f>
        <v>1.9113949499584706</v>
      </c>
      <c r="X12" s="28">
        <f>Input_external!W4/Table!X37*100</f>
        <v>1.7710164824675605</v>
      </c>
      <c r="Y12" s="67"/>
      <c r="Z12" s="28"/>
      <c r="AA12" s="71">
        <f>-Y16</f>
        <v>-0.9296370029636896</v>
      </c>
    </row>
    <row r="13" spans="3:26" ht="12.75">
      <c r="C13" s="18"/>
      <c r="D13" s="18"/>
      <c r="E13" s="18"/>
      <c r="K13" s="18"/>
      <c r="L13" s="18"/>
      <c r="M13" s="18"/>
      <c r="N13" s="18"/>
      <c r="O13" s="18"/>
      <c r="P13" s="18"/>
      <c r="Q13" s="18"/>
      <c r="R13" s="18"/>
      <c r="S13" s="28"/>
      <c r="T13" s="28"/>
      <c r="U13" s="28"/>
      <c r="V13" s="28"/>
      <c r="W13" s="28"/>
      <c r="X13" s="28"/>
      <c r="Y13" s="67"/>
      <c r="Z13" s="28"/>
    </row>
    <row r="14" spans="1:26" ht="12.75">
      <c r="A14">
        <f>A12+1</f>
        <v>2</v>
      </c>
      <c r="B14" t="s">
        <v>29</v>
      </c>
      <c r="C14" s="18"/>
      <c r="D14" s="18">
        <f>(D12-C12)</f>
        <v>-1.5768657683959475</v>
      </c>
      <c r="E14" s="18">
        <f>(E12-D12)</f>
        <v>-5.478437965241376</v>
      </c>
      <c r="F14" s="18">
        <f aca="true" t="shared" si="1" ref="F14:X14">(F12-E12)</f>
        <v>-8.843383312521212</v>
      </c>
      <c r="G14" s="18">
        <f t="shared" si="1"/>
        <v>-8.912814589511374</v>
      </c>
      <c r="H14" s="18">
        <f t="shared" si="1"/>
        <v>-11.870854090424135</v>
      </c>
      <c r="I14" s="18">
        <f t="shared" si="1"/>
        <v>-0.46993041847283124</v>
      </c>
      <c r="J14" s="18">
        <f t="shared" si="1"/>
        <v>-0.8667534417503564</v>
      </c>
      <c r="K14" s="18">
        <f t="shared" si="1"/>
        <v>0.6740161073477307</v>
      </c>
      <c r="L14" s="18">
        <f t="shared" si="1"/>
        <v>-0.5889261122877518</v>
      </c>
      <c r="M14" s="18">
        <f t="shared" si="1"/>
        <v>-0.8578277969582144</v>
      </c>
      <c r="N14" s="18"/>
      <c r="O14" s="18"/>
      <c r="P14" s="18"/>
      <c r="Q14" s="18"/>
      <c r="R14" s="18"/>
      <c r="S14" s="18">
        <f>(S12-M12)</f>
        <v>-0.21897375698987487</v>
      </c>
      <c r="T14" s="18">
        <f t="shared" si="1"/>
        <v>-0.13901733722547105</v>
      </c>
      <c r="U14" s="18">
        <f t="shared" si="1"/>
        <v>-0.13602740818171988</v>
      </c>
      <c r="V14" s="18">
        <f t="shared" si="1"/>
        <v>-0.14284362039768084</v>
      </c>
      <c r="W14" s="18">
        <f t="shared" si="1"/>
        <v>-0.1271112181020695</v>
      </c>
      <c r="X14" s="18">
        <f t="shared" si="1"/>
        <v>-0.1403784674909101</v>
      </c>
      <c r="Y14" s="62">
        <f>Y15+Y28</f>
        <v>0</v>
      </c>
      <c r="Z14" s="18"/>
    </row>
    <row r="15" spans="1:26" ht="12.75">
      <c r="A15">
        <f aca="true" t="shared" si="2" ref="A15:A20">A14+1</f>
        <v>3</v>
      </c>
      <c r="B15" t="s">
        <v>117</v>
      </c>
      <c r="C15" s="18"/>
      <c r="D15" s="18">
        <f>D16+D20+D23</f>
        <v>-10.861741555607416</v>
      </c>
      <c r="E15" s="18">
        <f>E16+E20+E23</f>
        <v>-20.418857295820366</v>
      </c>
      <c r="F15" s="18">
        <f>F16+F20+F23</f>
        <v>-20.799872301568897</v>
      </c>
      <c r="G15" s="18">
        <f aca="true" t="shared" si="3" ref="G15:Y15">G16+G20+G23</f>
        <v>-25.977293078370288</v>
      </c>
      <c r="H15" s="18">
        <f t="shared" si="3"/>
        <v>-28.181087839612378</v>
      </c>
      <c r="I15" s="18">
        <f t="shared" si="3"/>
        <v>-24.41051344054414</v>
      </c>
      <c r="J15" s="18">
        <f t="shared" si="3"/>
        <v>-22.453490315061558</v>
      </c>
      <c r="K15" s="18">
        <f t="shared" si="3"/>
        <v>-1.2950664132288616</v>
      </c>
      <c r="L15" s="18">
        <f t="shared" si="3"/>
        <v>-9.31160417432428</v>
      </c>
      <c r="M15" s="18">
        <f t="shared" si="3"/>
        <v>-11.759602360374313</v>
      </c>
      <c r="N15" s="18"/>
      <c r="O15" s="18"/>
      <c r="P15" s="18"/>
      <c r="Q15" s="18"/>
      <c r="R15" s="18"/>
      <c r="S15" s="18">
        <f t="shared" si="3"/>
        <v>-6.5275283096737695</v>
      </c>
      <c r="T15" s="18">
        <f t="shared" si="3"/>
        <v>-4.777210869208153</v>
      </c>
      <c r="U15" s="18">
        <f t="shared" si="3"/>
        <v>-5.110823064152685</v>
      </c>
      <c r="V15" s="18">
        <f t="shared" si="3"/>
        <v>-4.946473547956045</v>
      </c>
      <c r="W15" s="18">
        <f t="shared" si="3"/>
        <v>-4.968303309799877</v>
      </c>
      <c r="X15" s="18">
        <f t="shared" si="3"/>
        <v>-5.646936741412855</v>
      </c>
      <c r="Y15" s="18">
        <f t="shared" si="3"/>
        <v>0</v>
      </c>
      <c r="Z15" s="18"/>
    </row>
    <row r="16" spans="1:26" s="25" customFormat="1" ht="12.75">
      <c r="A16">
        <f t="shared" si="2"/>
        <v>4</v>
      </c>
      <c r="B16" s="27" t="s">
        <v>40</v>
      </c>
      <c r="C16" s="18"/>
      <c r="D16" s="18">
        <f>Input_external!H26/Table!D37*100</f>
        <v>-11.85531648987353</v>
      </c>
      <c r="E16" s="18">
        <f>Input_external!I26/Table!E37*100</f>
        <v>-16.043957123545873</v>
      </c>
      <c r="F16" s="18">
        <f>Input_external!J26/Table!F37*100</f>
        <v>-15.356985015745572</v>
      </c>
      <c r="G16" s="18">
        <f>Input_external!K26/Table!G37*100</f>
        <v>-22.10128010482221</v>
      </c>
      <c r="H16" s="18">
        <f>Input_external!L26/Table!H37*100</f>
        <v>-26.5243790871535</v>
      </c>
      <c r="I16" s="18">
        <f>Input_external!M26/Table!I37*100</f>
        <v>-22.955499473469303</v>
      </c>
      <c r="J16" s="18">
        <f>Input_external!N26/Table!J37*100</f>
        <v>-20.173950961975272</v>
      </c>
      <c r="K16" s="18">
        <f>Input_external!O26/Table!K37*100</f>
        <v>-0.4208268083538204</v>
      </c>
      <c r="L16" s="18">
        <f>Input_external!P26/Table!L37*100</f>
        <v>-7.613319237580539</v>
      </c>
      <c r="M16" s="18">
        <f>Input_external!Q26/Table!M37*100</f>
        <v>-10.397963540003312</v>
      </c>
      <c r="N16" s="18"/>
      <c r="O16" s="18"/>
      <c r="P16" s="18"/>
      <c r="Q16" s="18"/>
      <c r="R16" s="18"/>
      <c r="S16" s="18">
        <f>Input_external!R26/Table!S37*100</f>
        <v>-5.628884513488823</v>
      </c>
      <c r="T16" s="18">
        <f>Input_external!S26/Table!T37*100</f>
        <v>-3.7382996960749435</v>
      </c>
      <c r="U16" s="18">
        <f>Input_external!T26/Table!U37*100</f>
        <v>-4.095450899101573</v>
      </c>
      <c r="V16" s="18">
        <f>Input_external!U26/Table!V37*100</f>
        <v>-3.9974138665881767</v>
      </c>
      <c r="W16" s="18">
        <f>Input_external!V26/Table!W37*100</f>
        <v>-4.045665893725947</v>
      </c>
      <c r="X16" s="18">
        <f>Input_external!W26/Table!X37*100</f>
        <v>-4.71240026515964</v>
      </c>
      <c r="Y16" s="18">
        <f>-(Y20+Y23)</f>
        <v>0.9296370029636896</v>
      </c>
      <c r="Z16" s="18"/>
    </row>
    <row r="17" spans="1:24" ht="12.75">
      <c r="A17">
        <f t="shared" si="2"/>
        <v>5</v>
      </c>
      <c r="B17" s="9" t="s">
        <v>66</v>
      </c>
      <c r="C17" s="42"/>
      <c r="D17" s="42">
        <f>D19-D18</f>
        <v>-9.723559635712395</v>
      </c>
      <c r="E17" s="42">
        <f>E19-E18</f>
        <v>-14.378851360356414</v>
      </c>
      <c r="F17" s="42">
        <f>F19-F18</f>
        <v>-14.361009128390478</v>
      </c>
      <c r="G17" s="42">
        <f aca="true" t="shared" si="4" ref="G17:X17">G19-G18</f>
        <v>-23.44791488962486</v>
      </c>
      <c r="H17" s="42">
        <f t="shared" si="4"/>
        <v>-27.163828920498567</v>
      </c>
      <c r="I17" s="42">
        <f t="shared" si="4"/>
        <v>-22.486412069373102</v>
      </c>
      <c r="J17" s="42">
        <f t="shared" si="4"/>
        <v>-19.224717229296974</v>
      </c>
      <c r="K17" s="42">
        <f t="shared" si="4"/>
        <v>0.6591678598914399</v>
      </c>
      <c r="L17" s="42">
        <f t="shared" si="4"/>
        <v>-6.151688824447941</v>
      </c>
      <c r="M17" s="42">
        <f t="shared" si="4"/>
        <v>-10.657318407381744</v>
      </c>
      <c r="S17" s="42">
        <f t="shared" si="4"/>
        <v>-6.516428195806682</v>
      </c>
      <c r="T17" s="42">
        <f t="shared" si="4"/>
        <v>-4.659491415029947</v>
      </c>
      <c r="U17" s="42">
        <f t="shared" si="4"/>
        <v>-4.5175079764224755</v>
      </c>
      <c r="V17" s="42">
        <f t="shared" si="4"/>
        <v>-3.932055662603137</v>
      </c>
      <c r="W17" s="42">
        <f t="shared" si="4"/>
        <v>-3.522798361932427</v>
      </c>
      <c r="X17" s="42">
        <f t="shared" si="4"/>
        <v>-3.038259989388113</v>
      </c>
    </row>
    <row r="18" spans="1:26" ht="12.75">
      <c r="A18">
        <f t="shared" si="2"/>
        <v>6</v>
      </c>
      <c r="B18" s="34" t="s">
        <v>67</v>
      </c>
      <c r="C18" s="18">
        <f>Input_external!G7/Table!C37*100</f>
        <v>36.53660871519481</v>
      </c>
      <c r="D18" s="18">
        <f>Input_external!H7/Table!D37*100</f>
        <v>35.25178840992306</v>
      </c>
      <c r="E18" s="18">
        <f>Input_external!I7/Table!E37*100</f>
        <v>38.35637435028463</v>
      </c>
      <c r="F18" s="18">
        <f>Input_external!J7/Table!F37*100</f>
        <v>39.92126560693624</v>
      </c>
      <c r="G18" s="18">
        <f>Input_external!K7/Table!G37*100</f>
        <v>47.31628984874926</v>
      </c>
      <c r="H18" s="18">
        <f>Input_external!L7/Table!H37*100</f>
        <v>48.87101926311921</v>
      </c>
      <c r="I18" s="18">
        <f>Input_external!M7/Table!I37*100</f>
        <v>47.266140336549824</v>
      </c>
      <c r="J18" s="18">
        <f>Input_external!N7/Table!J37*100</f>
        <v>47.800729046796604</v>
      </c>
      <c r="K18" s="18">
        <f>Input_external!O7/Table!K37*100</f>
        <v>34.91542161492573</v>
      </c>
      <c r="L18" s="18">
        <f>Input_external!P7/Table!L37*100</f>
        <v>37.74150950440462</v>
      </c>
      <c r="M18" s="18">
        <f>Input_external!Q7/Table!M37*100</f>
        <v>40.390721510732135</v>
      </c>
      <c r="N18" s="18"/>
      <c r="O18" s="18"/>
      <c r="P18" s="18"/>
      <c r="Q18" s="18"/>
      <c r="R18" s="18"/>
      <c r="S18" s="18">
        <f>Input_external!R7/Table!S37*100</f>
        <v>35.404476074610706</v>
      </c>
      <c r="T18" s="18">
        <f>Input_external!S7/Table!T37*100</f>
        <v>32.402914470521324</v>
      </c>
      <c r="U18" s="18">
        <f>Input_external!T7/Table!U37*100</f>
        <v>30.573828775996954</v>
      </c>
      <c r="V18" s="18">
        <f>Input_external!U7/Table!V37*100</f>
        <v>28.275790578268996</v>
      </c>
      <c r="W18" s="18">
        <f>Input_external!V7/Table!W37*100</f>
        <v>26.49364867696555</v>
      </c>
      <c r="X18" s="18">
        <f>Input_external!W7/Table!X37*100</f>
        <v>25.03633053162295</v>
      </c>
      <c r="Y18" s="18"/>
      <c r="Z18" s="18"/>
    </row>
    <row r="19" spans="1:26" ht="12.75">
      <c r="A19">
        <f t="shared" si="2"/>
        <v>7</v>
      </c>
      <c r="B19" s="34" t="s">
        <v>68</v>
      </c>
      <c r="C19" s="18"/>
      <c r="D19" s="18">
        <f>-Input_external!H8/Table!D37*100</f>
        <v>25.528228774210664</v>
      </c>
      <c r="E19" s="18">
        <f>-Input_external!I8/Table!E37*100</f>
        <v>23.977522989928218</v>
      </c>
      <c r="F19" s="18">
        <f>-Input_external!J8/Table!F37*100</f>
        <v>25.56025647854576</v>
      </c>
      <c r="G19" s="18">
        <f>-Input_external!K8/Table!G37*100</f>
        <v>23.868374959124395</v>
      </c>
      <c r="H19" s="18">
        <f>-Input_external!L8/Table!H37*100</f>
        <v>21.707190342620642</v>
      </c>
      <c r="I19" s="18">
        <f>-Input_external!M8/Table!I37*100</f>
        <v>24.779728267176722</v>
      </c>
      <c r="J19" s="18">
        <f>-Input_external!N8/Table!J37*100</f>
        <v>28.57601181749963</v>
      </c>
      <c r="K19" s="18">
        <f>-Input_external!O8/Table!K37*100</f>
        <v>35.57458947481717</v>
      </c>
      <c r="L19" s="18">
        <f>-Input_external!P8/Table!L37*100</f>
        <v>31.589820679956677</v>
      </c>
      <c r="M19" s="18">
        <f>-Input_external!Q8/Table!M37*100</f>
        <v>29.73340310335039</v>
      </c>
      <c r="N19" s="18"/>
      <c r="O19" s="18"/>
      <c r="P19" s="18"/>
      <c r="Q19" s="18"/>
      <c r="R19" s="18"/>
      <c r="S19" s="18">
        <f>-Input_external!R8/Table!S37*100</f>
        <v>28.888047878804024</v>
      </c>
      <c r="T19" s="18">
        <f>-Input_external!S8/Table!T37*100</f>
        <v>27.743423055491377</v>
      </c>
      <c r="U19" s="18">
        <f>-Input_external!T8/Table!U37*100</f>
        <v>26.05632079957448</v>
      </c>
      <c r="V19" s="18">
        <f>-Input_external!U8/Table!V37*100</f>
        <v>24.34373491566586</v>
      </c>
      <c r="W19" s="18">
        <f>-Input_external!V8/Table!W37*100</f>
        <v>22.970850315033122</v>
      </c>
      <c r="X19" s="18">
        <f>-Input_external!W8/Table!X37*100</f>
        <v>21.99807054223484</v>
      </c>
      <c r="Y19" s="18"/>
      <c r="Z19" s="18"/>
    </row>
    <row r="20" spans="1:26" ht="12.75">
      <c r="A20">
        <f t="shared" si="2"/>
        <v>8</v>
      </c>
      <c r="B20" s="15" t="s">
        <v>26</v>
      </c>
      <c r="C20" s="18"/>
      <c r="D20" s="18">
        <f>-(D21+D22)</f>
        <v>-1.7089290483771113</v>
      </c>
      <c r="E20" s="18">
        <f>-(E21+E22)</f>
        <v>-0.913597852369438</v>
      </c>
      <c r="F20" s="18">
        <f>-(F21+F22)</f>
        <v>-0.726476529600182</v>
      </c>
      <c r="G20" s="18">
        <f aca="true" t="shared" si="5" ref="G20:X20">-(G21+G22)</f>
        <v>-1.0269301236624533</v>
      </c>
      <c r="H20" s="18">
        <f t="shared" si="5"/>
        <v>-1.5005756089164308</v>
      </c>
      <c r="I20" s="18">
        <f t="shared" si="5"/>
        <v>-1.0200789581139456</v>
      </c>
      <c r="J20" s="18">
        <f t="shared" si="5"/>
        <v>-1.4500564382631769</v>
      </c>
      <c r="K20" s="18">
        <f t="shared" si="5"/>
        <v>-1.8410647364717936</v>
      </c>
      <c r="L20" s="18">
        <f t="shared" si="5"/>
        <v>-1.1817437382774247</v>
      </c>
      <c r="M20" s="18">
        <f t="shared" si="5"/>
        <v>-0.8809882228706428</v>
      </c>
      <c r="N20" s="18"/>
      <c r="O20" s="18"/>
      <c r="P20" s="18"/>
      <c r="Q20" s="18"/>
      <c r="R20" s="18"/>
      <c r="S20" s="18">
        <f t="shared" si="5"/>
        <v>-0.8439007951753188</v>
      </c>
      <c r="T20" s="18">
        <f t="shared" si="5"/>
        <v>-0.9677358558458236</v>
      </c>
      <c r="U20" s="18">
        <f t="shared" si="5"/>
        <v>-0.9240912147629262</v>
      </c>
      <c r="V20" s="18">
        <f t="shared" si="5"/>
        <v>-0.8935420334131181</v>
      </c>
      <c r="W20" s="18">
        <f t="shared" si="5"/>
        <v>-0.8585705162336255</v>
      </c>
      <c r="X20" s="18">
        <f t="shared" si="5"/>
        <v>-0.867825187332338</v>
      </c>
      <c r="Y20" s="18">
        <f>X20</f>
        <v>-0.867825187332338</v>
      </c>
      <c r="Z20" s="18"/>
    </row>
    <row r="21" spans="1:26" ht="12.75" hidden="1">
      <c r="A21" t="s">
        <v>55</v>
      </c>
      <c r="B21" s="9" t="s">
        <v>41</v>
      </c>
      <c r="C21" s="18"/>
      <c r="D21" s="18">
        <f>Input_external!H9/Table!D$37*100</f>
        <v>1.7089290483771113</v>
      </c>
      <c r="E21" s="18">
        <f>Input_external!I9/Table!E$37*100</f>
        <v>0.913597852369438</v>
      </c>
      <c r="F21" s="18">
        <f>Input_external!J9/Table!F$37*100</f>
        <v>0.726476529600182</v>
      </c>
      <c r="G21" s="18">
        <f>Input_external!K9/Table!G$37*100</f>
        <v>1.0269301236624533</v>
      </c>
      <c r="H21" s="18">
        <f>Input_external!L9/Table!H$37*100</f>
        <v>1.5005756089164308</v>
      </c>
      <c r="I21" s="18">
        <f>Input_external!M9/Table!I$37*100</f>
        <v>1.0200789581139456</v>
      </c>
      <c r="J21" s="18">
        <f>Input_external!N9/Table!J$37*100</f>
        <v>1.4500564382631769</v>
      </c>
      <c r="K21" s="18">
        <f>Input_external!O9/Table!K$37*100</f>
        <v>1.8410647364717936</v>
      </c>
      <c r="L21" s="18">
        <f>Input_external!P9/Table!L$37*100</f>
        <v>1.1817437382774247</v>
      </c>
      <c r="M21" s="18">
        <f>Input_external!Q9/Table!M$37*100</f>
        <v>0.8809882228706428</v>
      </c>
      <c r="N21" s="18"/>
      <c r="O21" s="18"/>
      <c r="P21" s="18"/>
      <c r="Q21" s="18"/>
      <c r="R21" s="18"/>
      <c r="S21" s="18">
        <f>Input_external!R9/Table!S$37*100</f>
        <v>0.8439007951753188</v>
      </c>
      <c r="T21" s="18">
        <f>Input_external!S9/Table!T$37*100</f>
        <v>0.9677358558458236</v>
      </c>
      <c r="U21" s="18">
        <f>Input_external!T9/Table!U$37*100</f>
        <v>0.9240912147629262</v>
      </c>
      <c r="V21" s="18">
        <f>Input_external!U9/Table!V$37*100</f>
        <v>0.8935420334131181</v>
      </c>
      <c r="W21" s="18">
        <f>Input_external!V9/Table!W$37*100</f>
        <v>0.8585705162336255</v>
      </c>
      <c r="X21" s="18">
        <f>Input_external!W9/Table!X$37*100</f>
        <v>0.867825187332338</v>
      </c>
      <c r="Y21" s="18"/>
      <c r="Z21" s="18"/>
    </row>
    <row r="22" spans="1:26" ht="12.75" hidden="1">
      <c r="A22" t="s">
        <v>55</v>
      </c>
      <c r="B22" s="8" t="s">
        <v>42</v>
      </c>
      <c r="C22" s="18"/>
      <c r="D22" s="18">
        <f>Input_external!H10/Table!D$37*100</f>
        <v>0</v>
      </c>
      <c r="E22" s="18">
        <f>Input_external!I10/Table!E$37*100</f>
        <v>0</v>
      </c>
      <c r="F22" s="18">
        <f>Input_external!J10/Table!F$37*100</f>
        <v>0</v>
      </c>
      <c r="G22" s="18">
        <f>Input_external!K10/Table!G$37*100</f>
        <v>0</v>
      </c>
      <c r="H22" s="18">
        <f>Input_external!L10/Table!H$37*100</f>
        <v>0</v>
      </c>
      <c r="I22" s="18">
        <f>Input_external!M10/Table!I$37*100</f>
        <v>0</v>
      </c>
      <c r="J22" s="18">
        <f>Input_external!N10/Table!J$37*100</f>
        <v>0</v>
      </c>
      <c r="K22" s="18">
        <f>Input_external!O10/Table!K$37*100</f>
        <v>0</v>
      </c>
      <c r="L22" s="18">
        <f>Input_external!P10/Table!L$37*100</f>
        <v>0</v>
      </c>
      <c r="M22" s="18">
        <f>Input_external!Q10/Table!M$37*100</f>
        <v>0</v>
      </c>
      <c r="N22" s="18"/>
      <c r="O22" s="18"/>
      <c r="P22" s="18"/>
      <c r="Q22" s="18"/>
      <c r="R22" s="18"/>
      <c r="S22" s="18">
        <f>Input_external!R10/Table!S$37*100</f>
        <v>0</v>
      </c>
      <c r="T22" s="18">
        <f>Input_external!S10/Table!T$37*100</f>
        <v>0</v>
      </c>
      <c r="U22" s="18">
        <f>Input_external!T10/Table!U$37*100</f>
        <v>0</v>
      </c>
      <c r="V22" s="18">
        <f>Input_external!U10/Table!V$37*100</f>
        <v>0</v>
      </c>
      <c r="W22" s="18">
        <f>Input_external!V10/Table!W$37*100</f>
        <v>0</v>
      </c>
      <c r="X22" s="18">
        <f>Input_external!W10/Table!X$37*100</f>
        <v>0</v>
      </c>
      <c r="Y22" s="18"/>
      <c r="Z22" s="18"/>
    </row>
    <row r="23" spans="1:25" ht="12.75">
      <c r="A23">
        <f>A20+1</f>
        <v>9</v>
      </c>
      <c r="B23" s="12" t="s">
        <v>30</v>
      </c>
      <c r="C23" s="18"/>
      <c r="D23" s="42">
        <f>D25+D26+D27</f>
        <v>2.7025039826432256</v>
      </c>
      <c r="E23" s="42">
        <f>E25+E26+E27</f>
        <v>-3.461302319905054</v>
      </c>
      <c r="F23" s="42">
        <f>F25+F26+F27</f>
        <v>-4.716410756223144</v>
      </c>
      <c r="G23" s="42">
        <f>G25+G26+G27</f>
        <v>-2.8490828498856278</v>
      </c>
      <c r="H23" s="42">
        <f aca="true" t="shared" si="6" ref="H23:Y23">H25+H26+H27</f>
        <v>-0.15613314354244845</v>
      </c>
      <c r="I23" s="42">
        <f t="shared" si="6"/>
        <v>-0.4349350089608929</v>
      </c>
      <c r="J23" s="42">
        <f t="shared" si="6"/>
        <v>-0.8294829148231108</v>
      </c>
      <c r="K23" s="42">
        <f t="shared" si="6"/>
        <v>0.9668251315967523</v>
      </c>
      <c r="L23" s="42">
        <f t="shared" si="6"/>
        <v>-0.5165411984663174</v>
      </c>
      <c r="M23" s="42">
        <f t="shared" si="6"/>
        <v>-0.48065059750035705</v>
      </c>
      <c r="S23" s="42">
        <f t="shared" si="6"/>
        <v>-0.05474300100962694</v>
      </c>
      <c r="T23" s="42">
        <f t="shared" si="6"/>
        <v>-0.07117531728738602</v>
      </c>
      <c r="U23" s="42">
        <f t="shared" si="6"/>
        <v>-0.09128095028818556</v>
      </c>
      <c r="V23" s="42">
        <f t="shared" si="6"/>
        <v>-0.055517647954750046</v>
      </c>
      <c r="W23" s="42">
        <f t="shared" si="6"/>
        <v>-0.06406689984030381</v>
      </c>
      <c r="X23" s="42">
        <f t="shared" si="6"/>
        <v>-0.0667112889208773</v>
      </c>
      <c r="Y23" s="42">
        <f t="shared" si="6"/>
        <v>-0.061811815631351484</v>
      </c>
    </row>
    <row r="24" spans="1:25" ht="12.75">
      <c r="A24" t="s">
        <v>55</v>
      </c>
      <c r="B24" s="13" t="s">
        <v>31</v>
      </c>
      <c r="C24" s="42"/>
      <c r="D24" s="42">
        <f aca="true" t="shared" si="7" ref="D24:M24">1+D38/100+D41/100+D38/100*D41/100</f>
        <v>1.0368283320039988</v>
      </c>
      <c r="E24" s="42">
        <f t="shared" si="7"/>
        <v>1.195608288821117</v>
      </c>
      <c r="F24" s="42">
        <f t="shared" si="7"/>
        <v>1.2575738033439823</v>
      </c>
      <c r="G24" s="42">
        <f t="shared" si="7"/>
        <v>1.2094693589463261</v>
      </c>
      <c r="H24" s="42">
        <f t="shared" si="7"/>
        <v>1.1362916443192785</v>
      </c>
      <c r="I24" s="42">
        <f t="shared" si="7"/>
        <v>1.145069885312269</v>
      </c>
      <c r="J24" s="42">
        <f t="shared" si="7"/>
        <v>1.278579282867286</v>
      </c>
      <c r="K24" s="42">
        <f t="shared" si="7"/>
        <v>0.8034340173500737</v>
      </c>
      <c r="L24" s="42">
        <f t="shared" si="7"/>
        <v>1.165374830908146</v>
      </c>
      <c r="M24" s="42">
        <f t="shared" si="7"/>
        <v>1.1827651780047568</v>
      </c>
      <c r="S24" s="42">
        <f aca="true" t="shared" si="8" ref="S24:X24">1+S38/100+S41/100+S38/100*S41/100</f>
        <v>1.0459788583120782</v>
      </c>
      <c r="T24" s="42">
        <f t="shared" si="8"/>
        <v>1.0556080231728868</v>
      </c>
      <c r="U24" s="42">
        <f t="shared" si="8"/>
        <v>1.0671651428377813</v>
      </c>
      <c r="V24" s="42">
        <f t="shared" si="8"/>
        <v>1.0558715507581582</v>
      </c>
      <c r="W24" s="42">
        <f t="shared" si="8"/>
        <v>1.0625314981681204</v>
      </c>
      <c r="X24" s="42">
        <f t="shared" si="8"/>
        <v>1.0662293444416822</v>
      </c>
      <c r="Y24" s="42">
        <f>1+Y38/100+Y41/100+Y38/100*Y41/100</f>
        <v>1.0662293444416822</v>
      </c>
    </row>
    <row r="25" spans="1:26" ht="12.75">
      <c r="A25">
        <f>A23+1</f>
        <v>10</v>
      </c>
      <c r="B25" s="8" t="s">
        <v>97</v>
      </c>
      <c r="C25" s="18"/>
      <c r="D25" s="18">
        <f aca="true" t="shared" si="9" ref="D25:M25">D42/100/D24*C12</f>
        <v>4.175424582117273</v>
      </c>
      <c r="E25" s="18">
        <f t="shared" si="9"/>
        <v>3.064973440207147</v>
      </c>
      <c r="F25" s="18">
        <f t="shared" si="9"/>
        <v>2.331755312748972</v>
      </c>
      <c r="G25" s="18">
        <f t="shared" si="9"/>
        <v>1.5791472656318855</v>
      </c>
      <c r="H25" s="18">
        <f t="shared" si="9"/>
        <v>1.841615520033802</v>
      </c>
      <c r="I25" s="18">
        <f t="shared" si="9"/>
        <v>0.17125413165416603</v>
      </c>
      <c r="J25" s="18">
        <f t="shared" si="9"/>
        <v>0.11064687681526249</v>
      </c>
      <c r="K25" s="18">
        <f t="shared" si="9"/>
        <v>0.12322086818905707</v>
      </c>
      <c r="L25" s="18">
        <f t="shared" si="9"/>
        <v>0.0684167427423772</v>
      </c>
      <c r="M25" s="18">
        <f t="shared" si="9"/>
        <v>0.06531171515774152</v>
      </c>
      <c r="N25" s="18"/>
      <c r="O25" s="18"/>
      <c r="P25" s="18"/>
      <c r="Q25" s="18"/>
      <c r="R25" s="18"/>
      <c r="S25" s="18">
        <f>S42/100/S24*M12</f>
        <v>0.06286012127179941</v>
      </c>
      <c r="T25" s="18">
        <f aca="true" t="shared" si="10" ref="T25:Y25">T42/100/T24*S12</f>
        <v>0.058224271539506364</v>
      </c>
      <c r="U25" s="18">
        <f t="shared" si="10"/>
        <v>0.05456992524495426</v>
      </c>
      <c r="V25" s="18">
        <f t="shared" si="10"/>
        <v>0.0599086984977418</v>
      </c>
      <c r="W25" s="18">
        <f t="shared" si="10"/>
        <v>0.055902103369058695</v>
      </c>
      <c r="X25" s="18">
        <f t="shared" si="10"/>
        <v>0.05201592034682382</v>
      </c>
      <c r="Y25" s="18">
        <f t="shared" si="10"/>
        <v>0.04819571815178557</v>
      </c>
      <c r="Z25" s="18"/>
    </row>
    <row r="26" spans="1:26" ht="12.75">
      <c r="A26">
        <f>A25+1</f>
        <v>11</v>
      </c>
      <c r="B26" s="9" t="s">
        <v>98</v>
      </c>
      <c r="C26" s="18"/>
      <c r="D26" s="18">
        <f>-D38/100/D24*C12</f>
        <v>-1.8797285787410425</v>
      </c>
      <c r="E26" s="18">
        <f>-E38/100/E24*D12</f>
        <v>-2.3021162863888183</v>
      </c>
      <c r="F26" s="18">
        <f>-F38/100/F24*E12</f>
        <v>-1.422911145575965</v>
      </c>
      <c r="G26" s="18">
        <f>-G38/100/G24*F12</f>
        <v>-1.0781516543871474</v>
      </c>
      <c r="H26" s="18">
        <f aca="true" t="shared" si="11" ref="H26:Y26">-H38/100/H24*G12</f>
        <v>-0.2931579075965019</v>
      </c>
      <c r="I26" s="18">
        <f t="shared" si="11"/>
        <v>-0.1253580243708515</v>
      </c>
      <c r="J26" s="18">
        <f t="shared" si="11"/>
        <v>-0.08099351382877072</v>
      </c>
      <c r="K26" s="18">
        <f t="shared" si="11"/>
        <v>-0.10467273085252374</v>
      </c>
      <c r="L26" s="18">
        <f t="shared" si="11"/>
        <v>-0.11625768034378085</v>
      </c>
      <c r="M26" s="18">
        <f t="shared" si="11"/>
        <v>-0.07379635513469245</v>
      </c>
      <c r="N26" s="18"/>
      <c r="O26" s="18"/>
      <c r="P26" s="18"/>
      <c r="Q26" s="18"/>
      <c r="R26" s="18"/>
      <c r="S26" s="18">
        <f>-S38/100/S24*M12</f>
        <v>-0.07828372375965596</v>
      </c>
      <c r="T26" s="18">
        <f t="shared" si="11"/>
        <v>-0.08300419269638748</v>
      </c>
      <c r="U26" s="18">
        <f t="shared" si="11"/>
        <v>-0.0762131610772927</v>
      </c>
      <c r="V26" s="18">
        <f t="shared" si="11"/>
        <v>-0.07344453043292466</v>
      </c>
      <c r="W26" s="18">
        <f t="shared" si="11"/>
        <v>-0.08175085164710988</v>
      </c>
      <c r="X26" s="18">
        <f t="shared" si="11"/>
        <v>-0.07763303248088202</v>
      </c>
      <c r="Y26" s="18">
        <f t="shared" si="11"/>
        <v>-0.07193143421801383</v>
      </c>
      <c r="Z26" s="18"/>
    </row>
    <row r="27" spans="1:26" ht="12.75">
      <c r="A27">
        <f>A26+1</f>
        <v>12</v>
      </c>
      <c r="B27" s="9" t="s">
        <v>54</v>
      </c>
      <c r="C27" s="18"/>
      <c r="D27" s="18">
        <f>(-D41/100*(1+D38/100)+Input_external!H36/100*Table!D39/100*(1+Table!D42/100))/D24*C12</f>
        <v>0.4068079792669953</v>
      </c>
      <c r="E27" s="18">
        <f>(-E41/100*(1+E38/100)+Input_external!I36/100*Table!E39/100*(1+Table!E42/100))/E24*D12</f>
        <v>-4.2241594737233825</v>
      </c>
      <c r="F27" s="18">
        <f>(-F41/100*(1+F38/100)+Input_external!J36/100*Table!F39/100*(1+Table!F42/100))/F24*E12</f>
        <v>-5.6252549233961515</v>
      </c>
      <c r="G27" s="18">
        <f>(-G41/100*(1+G38/100)+Input_external!K36/100*Table!G39/100*(1+Table!G42/100))/G24*F12</f>
        <v>-3.350078461130366</v>
      </c>
      <c r="H27" s="18">
        <f>(-H41/100*(1+H38/100)+Input_external!L36/100*Table!H39/100*(1+Table!H42/100))/H24*G12</f>
        <v>-1.7045907559797486</v>
      </c>
      <c r="I27" s="18">
        <f>(-I41/100*(1+I38/100)+Input_external!M36/100*Table!I39/100*(1+Table!I42/100))/I24*H12</f>
        <v>-0.4808311162442074</v>
      </c>
      <c r="J27" s="18">
        <f>(-J41/100*(1+J38/100)+Input_external!N36/100*Table!J39/100*(1+Table!J42/100))/J24*I12</f>
        <v>-0.8591362778096026</v>
      </c>
      <c r="K27" s="18">
        <f>(-K41/100*(1+K38/100)+Input_external!O36/100*Table!K39/100*(1+Table!K42/100))/K24*J12</f>
        <v>0.9482769942602189</v>
      </c>
      <c r="L27" s="18">
        <f>(-L41/100*(1+L38/100)+Input_external!P36/100*Table!L39/100*(1+Table!L42/100))/L24*K12</f>
        <v>-0.4687002608649138</v>
      </c>
      <c r="M27" s="18">
        <f>(-M41/100*(1+M38/100)+Input_external!Q36/100*Table!M39/100*(1+Table!M42/100))/M24*L12</f>
        <v>-0.4721659575234061</v>
      </c>
      <c r="N27" s="18"/>
      <c r="O27" s="18"/>
      <c r="P27" s="18"/>
      <c r="Q27" s="18"/>
      <c r="R27" s="18"/>
      <c r="S27" s="18">
        <f>(-S41/100*(1+S38/100)+Input_external!R36/100*Table!S39/100*(1+Table!S42/100))/S24*M12</f>
        <v>-0.03931939852177038</v>
      </c>
      <c r="T27" s="18">
        <f>(-T41/100*(1+T38/100)+Input_external!S36/100*Table!T39/100*(1+Table!T42/100))/T24*S12</f>
        <v>-0.0463953961305049</v>
      </c>
      <c r="U27" s="18">
        <f>(-U41/100*(1+U38/100)+Input_external!T36/100*Table!U39/100*(1+Table!U42/100))/U24*T12</f>
        <v>-0.06963771445584711</v>
      </c>
      <c r="V27" s="18">
        <f>(-V41/100*(1+V38/100)+Input_external!U36/100*Table!V39/100*(1+Table!V42/100))/V24*U12</f>
        <v>-0.041981816019567186</v>
      </c>
      <c r="W27" s="18">
        <f>(-W41/100*(1+W38/100)+Input_external!V36/100*Table!W39/100*(1+Table!W42/100))/W24*V12</f>
        <v>-0.03821815156225262</v>
      </c>
      <c r="X27" s="18">
        <f>(-X41/100*(1+X38/100)+Input_external!W36/100*Table!X39/100*(1+Table!X42/100))/X24*W12</f>
        <v>-0.0410941767868191</v>
      </c>
      <c r="Y27" s="18">
        <f>(-Y41/100*(1+Y38/100)+Input_external!W36/100*Table!Y39/100*(1+Table!Y42/100))/Y24*X12</f>
        <v>-0.03807609956512322</v>
      </c>
      <c r="Z27" s="18"/>
    </row>
    <row r="28" spans="1:26" ht="12.75">
      <c r="A28">
        <f>A27+1</f>
        <v>13</v>
      </c>
      <c r="B28" s="11" t="s">
        <v>43</v>
      </c>
      <c r="C28" s="18"/>
      <c r="D28" s="18">
        <f>D14-D15</f>
        <v>9.284875787211469</v>
      </c>
      <c r="E28" s="18">
        <f>E14-E15</f>
        <v>14.94041933057899</v>
      </c>
      <c r="F28" s="18">
        <f>F14-F15</f>
        <v>11.956488989047685</v>
      </c>
      <c r="G28" s="18">
        <f aca="true" t="shared" si="12" ref="G28:X28">G14-G15</f>
        <v>17.064478488858914</v>
      </c>
      <c r="H28" s="18">
        <f t="shared" si="12"/>
        <v>16.310233749188242</v>
      </c>
      <c r="I28" s="18">
        <f t="shared" si="12"/>
        <v>23.94058302207131</v>
      </c>
      <c r="J28" s="18">
        <f t="shared" si="12"/>
        <v>21.586736873311203</v>
      </c>
      <c r="K28" s="18">
        <f t="shared" si="12"/>
        <v>1.9690825205765923</v>
      </c>
      <c r="L28" s="18">
        <f t="shared" si="12"/>
        <v>8.722678062036529</v>
      </c>
      <c r="M28" s="18">
        <f t="shared" si="12"/>
        <v>10.901774563416097</v>
      </c>
      <c r="N28" s="18"/>
      <c r="O28" s="18"/>
      <c r="P28" s="18"/>
      <c r="Q28" s="18"/>
      <c r="R28" s="18"/>
      <c r="S28" s="18">
        <f t="shared" si="12"/>
        <v>6.308554552683894</v>
      </c>
      <c r="T28" s="18">
        <f t="shared" si="12"/>
        <v>4.638193531982681</v>
      </c>
      <c r="U28" s="18">
        <f t="shared" si="12"/>
        <v>4.974795655970965</v>
      </c>
      <c r="V28" s="18">
        <f t="shared" si="12"/>
        <v>4.803629927558364</v>
      </c>
      <c r="W28" s="18">
        <f t="shared" si="12"/>
        <v>4.841192091697808</v>
      </c>
      <c r="X28" s="18">
        <f t="shared" si="12"/>
        <v>5.506558273921945</v>
      </c>
      <c r="Y28" s="18">
        <v>0</v>
      </c>
      <c r="Z28" s="18"/>
    </row>
    <row r="29" spans="2:9" ht="12.75">
      <c r="B29" s="7"/>
      <c r="C29" s="7"/>
      <c r="D29" s="31"/>
      <c r="E29" s="31"/>
      <c r="F29" s="31"/>
      <c r="G29" s="31"/>
      <c r="H29" s="31"/>
      <c r="I29" s="57"/>
    </row>
    <row r="30" spans="2:26" ht="12.75">
      <c r="B30" t="s">
        <v>28</v>
      </c>
      <c r="C30" s="19">
        <f aca="true" t="shared" si="13" ref="C30:X30">C12/C18*100</f>
        <v>113.49478546930776</v>
      </c>
      <c r="D30" s="19">
        <f t="shared" si="13"/>
        <v>113.15817355651112</v>
      </c>
      <c r="E30" s="19">
        <f t="shared" si="13"/>
        <v>89.7160968113715</v>
      </c>
      <c r="F30" s="19">
        <f t="shared" si="13"/>
        <v>64.04721454639892</v>
      </c>
      <c r="G30" s="19">
        <f t="shared" si="13"/>
        <v>35.2006552006552</v>
      </c>
      <c r="H30" s="19">
        <f t="shared" si="13"/>
        <v>9.790648988136777</v>
      </c>
      <c r="I30" s="19">
        <f t="shared" si="13"/>
        <v>9.128859483301827</v>
      </c>
      <c r="J30" s="19">
        <f t="shared" si="13"/>
        <v>7.213501052207485</v>
      </c>
      <c r="K30" s="19">
        <f t="shared" si="13"/>
        <v>11.806021549913401</v>
      </c>
      <c r="L30" s="19">
        <f t="shared" si="13"/>
        <v>9.361565380423272</v>
      </c>
      <c r="M30" s="19">
        <f t="shared" si="13"/>
        <v>6.623719980204909</v>
      </c>
      <c r="N30" s="19"/>
      <c r="O30" s="19"/>
      <c r="P30" s="19"/>
      <c r="Q30" s="19"/>
      <c r="R30" s="19"/>
      <c r="S30" s="19">
        <f t="shared" si="13"/>
        <v>6.938090338320086</v>
      </c>
      <c r="T30" s="19">
        <f t="shared" si="13"/>
        <v>7.151755434679136</v>
      </c>
      <c r="U30" s="19">
        <f t="shared" si="13"/>
        <v>7.134696162656491</v>
      </c>
      <c r="V30" s="19">
        <f t="shared" si="13"/>
        <v>7.209369309826508</v>
      </c>
      <c r="W30" s="19">
        <f t="shared" si="13"/>
        <v>7.214540259304866</v>
      </c>
      <c r="X30" s="19">
        <f t="shared" si="13"/>
        <v>7.073786153408626</v>
      </c>
      <c r="Y30" s="19"/>
      <c r="Z30" s="19"/>
    </row>
    <row r="31" spans="2:9" ht="12.75">
      <c r="B31" s="7"/>
      <c r="C31" s="7"/>
      <c r="D31" s="31"/>
      <c r="E31" s="31"/>
      <c r="F31" s="31"/>
      <c r="G31" s="31"/>
      <c r="H31" s="31"/>
      <c r="I31" s="31"/>
    </row>
    <row r="32" spans="2:26" ht="12.75">
      <c r="B32" s="48" t="s">
        <v>37</v>
      </c>
      <c r="C32" s="7"/>
      <c r="D32" s="19">
        <f>Input_external!H27</f>
        <v>-0.8771599999999999</v>
      </c>
      <c r="E32" s="19">
        <f>Input_external!I27</f>
        <v>-4.751099999999999</v>
      </c>
      <c r="F32" s="19">
        <f>Input_external!J27</f>
        <v>-6.174078</v>
      </c>
      <c r="G32" s="19">
        <f>Input_external!K27</f>
        <v>-15.4545</v>
      </c>
      <c r="H32" s="19">
        <f>Input_external!L27</f>
        <v>-14.290199999999999</v>
      </c>
      <c r="I32" s="19">
        <f>Input_external!M27</f>
        <v>-29.25</v>
      </c>
      <c r="J32" s="19">
        <f>Input_external!N27</f>
        <v>-32.552195</v>
      </c>
      <c r="K32" s="19">
        <f>Input_external!O27</f>
        <v>0.9994119999999901</v>
      </c>
      <c r="L32" s="19">
        <f>Input_external!P27</f>
        <v>-9.66064582097</v>
      </c>
      <c r="M32" s="19">
        <f>Input_external!Q27</f>
        <v>-17.14824545487104</v>
      </c>
      <c r="N32" s="19"/>
      <c r="O32" s="19"/>
      <c r="P32" s="19"/>
      <c r="Q32" s="19"/>
      <c r="R32" s="19"/>
      <c r="S32" s="52">
        <f>Input_external!R27</f>
        <v>-10.224014277454009</v>
      </c>
      <c r="T32" s="52">
        <f>Input_external!S27</f>
        <v>-7.018660120111759</v>
      </c>
      <c r="U32" s="52">
        <f>Input_external!T27</f>
        <v>-8.455986824076222</v>
      </c>
      <c r="V32" s="52">
        <f>Input_external!U27</f>
        <v>-8.629301625759453</v>
      </c>
      <c r="W32" s="52">
        <f>Input_external!V27</f>
        <v>-9.405852494443643</v>
      </c>
      <c r="X32" s="52">
        <f>Input_external!W27</f>
        <v>-11.849145554929702</v>
      </c>
      <c r="Y32" s="52"/>
      <c r="Z32" s="52"/>
    </row>
    <row r="33" spans="2:26" ht="12.75">
      <c r="B33" s="12" t="s">
        <v>38</v>
      </c>
      <c r="C33" s="7"/>
      <c r="D33" s="19">
        <f aca="true" t="shared" si="14" ref="D33:X33">D32/D37*100</f>
        <v>-1.5453651588396569</v>
      </c>
      <c r="E33" s="19">
        <f t="shared" si="14"/>
        <v>-7.00095928450393</v>
      </c>
      <c r="F33" s="19">
        <f t="shared" si="14"/>
        <v>-7.2343915466465045</v>
      </c>
      <c r="G33" s="19">
        <f t="shared" si="14"/>
        <v>-14.97235056239753</v>
      </c>
      <c r="H33" s="19">
        <f t="shared" si="14"/>
        <v>-12.183821344623622</v>
      </c>
      <c r="I33" s="19">
        <f t="shared" si="14"/>
        <v>-21.77905804732329</v>
      </c>
      <c r="J33" s="19">
        <f t="shared" si="14"/>
        <v>-18.956835317007386</v>
      </c>
      <c r="K33" s="19">
        <f t="shared" si="14"/>
        <v>0.7244024371680038</v>
      </c>
      <c r="L33" s="19">
        <f t="shared" si="14"/>
        <v>-6.00863563507751</v>
      </c>
      <c r="M33" s="19">
        <f t="shared" si="14"/>
        <v>-9.017597987456698</v>
      </c>
      <c r="N33" s="19"/>
      <c r="O33" s="58" t="s">
        <v>118</v>
      </c>
      <c r="P33" s="21"/>
      <c r="Q33" s="58" t="s">
        <v>118</v>
      </c>
      <c r="R33" s="19"/>
      <c r="S33" s="19">
        <f t="shared" si="14"/>
        <v>-5.140078121884597</v>
      </c>
      <c r="T33" s="19">
        <f t="shared" si="14"/>
        <v>-3.34271847832079</v>
      </c>
      <c r="U33" s="19">
        <f t="shared" si="14"/>
        <v>-3.7737945789312444</v>
      </c>
      <c r="V33" s="19">
        <f t="shared" si="14"/>
        <v>-3.6473590652302845</v>
      </c>
      <c r="W33" s="19">
        <f t="shared" si="14"/>
        <v>-3.741616056433264</v>
      </c>
      <c r="X33" s="19">
        <f t="shared" si="14"/>
        <v>-4.42076531746339</v>
      </c>
      <c r="Y33" s="19"/>
      <c r="Z33" s="19"/>
    </row>
    <row r="34" spans="2:27" ht="12.75">
      <c r="B34" s="7"/>
      <c r="C34" s="7"/>
      <c r="D34" s="31"/>
      <c r="E34" s="31"/>
      <c r="F34" s="31"/>
      <c r="G34" s="31"/>
      <c r="H34" s="31"/>
      <c r="I34" s="31"/>
      <c r="O34" s="30" t="s">
        <v>57</v>
      </c>
      <c r="P34" s="21"/>
      <c r="Q34" s="42" t="s">
        <v>59</v>
      </c>
      <c r="R34" s="65"/>
      <c r="S34" s="46"/>
      <c r="T34" s="46"/>
      <c r="U34" s="46"/>
      <c r="V34" s="46"/>
      <c r="W34" s="46"/>
      <c r="X34" s="46"/>
      <c r="Y34" s="22" t="s">
        <v>131</v>
      </c>
      <c r="Z34" s="46"/>
      <c r="AA34" s="58" t="s">
        <v>119</v>
      </c>
    </row>
    <row r="35" spans="2:27" ht="12.75">
      <c r="B35" s="48" t="s">
        <v>120</v>
      </c>
      <c r="C35" s="14"/>
      <c r="D35" s="39"/>
      <c r="E35" s="39"/>
      <c r="F35" s="39"/>
      <c r="G35" s="39"/>
      <c r="H35" s="39"/>
      <c r="I35" s="39"/>
      <c r="J35" s="39"/>
      <c r="O35" s="59" t="s">
        <v>58</v>
      </c>
      <c r="P35" s="21"/>
      <c r="Q35" s="20" t="s">
        <v>60</v>
      </c>
      <c r="Y35" s="30" t="s">
        <v>132</v>
      </c>
      <c r="AA35" s="59" t="s">
        <v>58</v>
      </c>
    </row>
    <row r="36" spans="2:26" ht="12.75">
      <c r="B36" s="5"/>
      <c r="C36" s="5"/>
      <c r="D36" s="32"/>
      <c r="E36" s="32"/>
      <c r="F36" s="32"/>
      <c r="G36" s="32"/>
      <c r="H36" s="32"/>
      <c r="I36" s="32"/>
      <c r="J36" s="28"/>
      <c r="K36" s="40"/>
      <c r="L36" s="40"/>
      <c r="M36" s="40"/>
      <c r="N36" s="40"/>
      <c r="R36" s="21"/>
      <c r="S36" s="40"/>
      <c r="T36" s="40"/>
      <c r="U36" s="40"/>
      <c r="V36" s="40"/>
      <c r="W36" s="40"/>
      <c r="X36" s="40"/>
      <c r="Y36" s="40"/>
      <c r="Z36" s="40"/>
    </row>
    <row r="37" spans="1:25" ht="12.75">
      <c r="A37" t="s">
        <v>55</v>
      </c>
      <c r="B37" s="5" t="s">
        <v>25</v>
      </c>
      <c r="C37" s="18">
        <f>IF(ISNUMBER(Input_external!G$11),Input_external!G$11,".")</f>
        <v>54.74454445379784</v>
      </c>
      <c r="D37" s="18">
        <f>IF(ISNUMBER(Input_external!H$11),Input_external!H$11,".")</f>
        <v>56.76069471234998</v>
      </c>
      <c r="E37" s="18">
        <f>IF(ISNUMBER(Input_external!I$11),Input_external!I$11,".")</f>
        <v>67.86355707733058</v>
      </c>
      <c r="F37" s="18">
        <f>IF(ISNUMBER(Input_external!J$11),Input_external!J$11,".")</f>
        <v>85.34343158219005</v>
      </c>
      <c r="G37" s="18">
        <f>IF(ISNUMBER(Input_external!K$11),Input_external!K$11,".")</f>
        <v>103.22026548599102</v>
      </c>
      <c r="H37" s="18">
        <f>IF(ISNUMBER(Input_external!L$11),Input_external!L$11,".")</f>
        <v>117.28832519614924</v>
      </c>
      <c r="I37" s="18">
        <f>IF(ISNUMBER(Input_external!M$11),Input_external!M$11,".")</f>
        <v>134.30332908082272</v>
      </c>
      <c r="J37" s="18">
        <f>IF(ISNUMBER(Input_external!N$11),Input_external!N$11,".")</f>
        <v>171.71745418284743</v>
      </c>
      <c r="K37" s="42">
        <f>IF(ISNUMBER(Input_external!O$11),Input_external!O$11,".")</f>
        <v>137.96364406325236</v>
      </c>
      <c r="L37" s="42">
        <f>IF(ISNUMBER(Input_external!P$11),Input_external!P$11,".")</f>
        <v>160.77935837168434</v>
      </c>
      <c r="M37" s="42">
        <f>IF(ISNUMBER(Input_external!Q$11),Input_external!Q$11,".")</f>
        <v>190.16422642397583</v>
      </c>
      <c r="O37" s="21"/>
      <c r="P37" s="21"/>
      <c r="Q37" s="21"/>
      <c r="R37" s="21"/>
      <c r="S37" s="42">
        <f>M37*(1+S38/100)*(1+S41/100)</f>
        <v>198.9077604467498</v>
      </c>
      <c r="T37" s="42">
        <f aca="true" t="shared" si="15" ref="T37:Y37">S37*(1+T38/100)*(1+T41/100)</f>
        <v>209.96862779893965</v>
      </c>
      <c r="U37" s="42">
        <f t="shared" si="15"/>
        <v>224.07120067650834</v>
      </c>
      <c r="V37" s="42">
        <f t="shared" si="15"/>
        <v>236.5904061385473</v>
      </c>
      <c r="W37" s="42">
        <f t="shared" si="15"/>
        <v>251.38475868659475</v>
      </c>
      <c r="X37" s="42">
        <f t="shared" si="15"/>
        <v>268.0338064570384</v>
      </c>
      <c r="Y37" s="42">
        <f t="shared" si="15"/>
        <v>285.78550974689676</v>
      </c>
    </row>
    <row r="38" spans="2:27" ht="12.75">
      <c r="B38" s="5" t="s">
        <v>44</v>
      </c>
      <c r="C38" s="5"/>
      <c r="D38" s="18">
        <f>(Input_external!H13/Input_external!G13-1)*100</f>
        <v>4.699999999999993</v>
      </c>
      <c r="E38" s="18">
        <f>(Input_external!I13/Input_external!H13-1)*100</f>
        <v>6.899999999999995</v>
      </c>
      <c r="F38" s="18">
        <f>(Input_external!J13/Input_external!I13-1)*100</f>
        <v>5.199999999999916</v>
      </c>
      <c r="G38" s="18">
        <f>(Input_external!K13/Input_external!J13-1)*100</f>
        <v>5.100000000000082</v>
      </c>
      <c r="H38" s="18">
        <f>(Input_external!L13/Input_external!K13-1)*100</f>
        <v>2.0000000000000684</v>
      </c>
      <c r="I38" s="18">
        <f>(Input_external!M13/Input_external!L13-1)*100</f>
        <v>3.000000000000047</v>
      </c>
      <c r="J38" s="18">
        <f>(Input_external!N13/Input_external!M13-1)*100</f>
        <v>2.3999999999999577</v>
      </c>
      <c r="K38" s="42">
        <f>(Input_external!O13/Input_external!N13-1)*100</f>
        <v>2.4389514241625054</v>
      </c>
      <c r="L38" s="42">
        <f>(Input_external!P13/Input_external!O13-1)*100</f>
        <v>3.286748135925688</v>
      </c>
      <c r="M38" s="42">
        <f>(Input_external!Q13/Input_external!P13-1)*100</f>
        <v>2.4703910269243456</v>
      </c>
      <c r="O38" s="42">
        <f>AVERAGE(D38:M38)</f>
        <v>3.7496090587012603</v>
      </c>
      <c r="Q38" s="42">
        <f>STDEV(D38:M38)</f>
        <v>1.6250931000133242</v>
      </c>
      <c r="S38" s="42">
        <f>(Input_external!R13/Input_external!Q13-1)*100</f>
        <v>3.060629831131245</v>
      </c>
      <c r="T38" s="42">
        <f>(Input_external!S13/Input_external!R13-1)*100</f>
        <v>3.567012161902805</v>
      </c>
      <c r="U38" s="42">
        <f>(Input_external!T13/Input_external!S13-1)*100</f>
        <v>3.5096586367163063</v>
      </c>
      <c r="V38" s="42">
        <f>(Input_external!U13/Input_external!T13-1)*100</f>
        <v>3.5550460844580023</v>
      </c>
      <c r="W38" s="42">
        <f>(Input_external!V13/Input_external!U13-1)*100</f>
        <v>4.2611033627514505</v>
      </c>
      <c r="X38" s="42">
        <f>(Input_external!W13/Input_external!V13-1)*100</f>
        <v>4.330586796355673</v>
      </c>
      <c r="Y38" s="42">
        <f>X38</f>
        <v>4.330586796355673</v>
      </c>
      <c r="AA38" s="72">
        <f aca="true" t="shared" si="16" ref="AA38:AA46">AVERAGE(T38:X38)</f>
        <v>3.8446814084368475</v>
      </c>
    </row>
    <row r="39" spans="2:27" ht="12.75">
      <c r="B39" s="11" t="s">
        <v>53</v>
      </c>
      <c r="C39" s="11"/>
      <c r="D39" s="18">
        <f>Input_external!H33</f>
        <v>-3.0959352123882455</v>
      </c>
      <c r="E39" s="18">
        <f>Input_external!I33</f>
        <v>2.954842044059691</v>
      </c>
      <c r="F39" s="18">
        <f>Input_external!J33</f>
        <v>7.3956536641074155</v>
      </c>
      <c r="G39" s="18">
        <f>Input_external!K33</f>
        <v>-1.652660131054151</v>
      </c>
      <c r="H39" s="18">
        <f>Input_external!L33</f>
        <v>0.8667873268701332</v>
      </c>
      <c r="I39" s="18">
        <f>Input_external!M33</f>
        <v>4.840670357307153</v>
      </c>
      <c r="J39" s="18">
        <f>Input_external!N33</f>
        <v>7.292344091615721</v>
      </c>
      <c r="K39" s="18">
        <f>Input_external!O33</f>
        <v>-11.203078746447526</v>
      </c>
      <c r="L39" s="18">
        <f>Input_external!P33</f>
        <v>-2.9526164307339897</v>
      </c>
      <c r="M39" s="18">
        <f>Input_external!Q33</f>
        <v>3.084047038887072</v>
      </c>
      <c r="N39" s="18"/>
      <c r="O39" s="42">
        <f aca="true" t="shared" si="17" ref="O39:O44">AVERAGE(D39:M39)</f>
        <v>0.7530054002223273</v>
      </c>
      <c r="P39" s="43"/>
      <c r="Q39" s="42">
        <f aca="true" t="shared" si="18" ref="Q39:Q44">STDEV(D39:M39)</f>
        <v>5.687927459864055</v>
      </c>
      <c r="S39" s="129">
        <v>0</v>
      </c>
      <c r="T39" s="129">
        <v>0</v>
      </c>
      <c r="U39" s="129">
        <v>0</v>
      </c>
      <c r="V39" s="129">
        <v>0</v>
      </c>
      <c r="W39" s="129">
        <v>0</v>
      </c>
      <c r="X39" s="129">
        <v>0</v>
      </c>
      <c r="Y39" s="18">
        <v>0</v>
      </c>
      <c r="Z39" s="18"/>
      <c r="AA39" s="72">
        <f t="shared" si="16"/>
        <v>0</v>
      </c>
    </row>
    <row r="40" spans="1:27" ht="12.75">
      <c r="A40" t="s">
        <v>55</v>
      </c>
      <c r="B40" s="11" t="s">
        <v>64</v>
      </c>
      <c r="C40" s="11"/>
      <c r="D40" s="18">
        <f>Input_external!H34</f>
        <v>2.1923014274317643</v>
      </c>
      <c r="E40" s="18">
        <f>Input_external!I34</f>
        <v>8.63366592530288</v>
      </c>
      <c r="F40" s="18">
        <f>Input_external!J34</f>
        <v>11.309193604047806</v>
      </c>
      <c r="G40" s="18">
        <f>Input_external!K34</f>
        <v>17.01176675561664</v>
      </c>
      <c r="H40" s="18">
        <f>Input_external!L34</f>
        <v>10.443828491256802</v>
      </c>
      <c r="I40" s="18">
        <f>Input_external!M34</f>
        <v>6.038842699668545</v>
      </c>
      <c r="J40" s="18">
        <f>Input_external!N34</f>
        <v>16.37480674845806</v>
      </c>
      <c r="K40" s="18">
        <f>Input_external!O34</f>
        <v>-11.674280643559175</v>
      </c>
      <c r="L40" s="18">
        <f>Input_external!P34</f>
        <v>16.26184179685266</v>
      </c>
      <c r="M40" s="18">
        <f>Input_external!Q34</f>
        <v>11.97180418387267</v>
      </c>
      <c r="N40" s="18"/>
      <c r="O40" s="42">
        <f t="shared" si="17"/>
        <v>8.856377098894864</v>
      </c>
      <c r="P40" s="43"/>
      <c r="Q40" s="42">
        <f t="shared" si="18"/>
        <v>8.628287979691576</v>
      </c>
      <c r="S40" s="18">
        <f>Input_external!R34</f>
        <v>1.4916035372531944</v>
      </c>
      <c r="T40" s="18">
        <f>Input_external!S34</f>
        <v>1.9251208601722025</v>
      </c>
      <c r="U40" s="18">
        <f>Input_external!T34</f>
        <v>3.0981221359417166</v>
      </c>
      <c r="V40" s="18">
        <f>Input_external!U34</f>
        <v>1.9623466631461417</v>
      </c>
      <c r="W40" s="18">
        <f>Input_external!V34</f>
        <v>1.9106324312814449</v>
      </c>
      <c r="X40" s="18">
        <f>Input_external!W34</f>
        <v>2.197196160975312</v>
      </c>
      <c r="Y40" s="18">
        <f>X40</f>
        <v>2.197196160975312</v>
      </c>
      <c r="Z40" s="18"/>
      <c r="AA40" s="72">
        <f t="shared" si="16"/>
        <v>2.218683650303364</v>
      </c>
    </row>
    <row r="41" spans="2:27" s="24" customFormat="1" ht="12.75">
      <c r="B41" s="36" t="s">
        <v>65</v>
      </c>
      <c r="C41" s="36"/>
      <c r="D41" s="37">
        <f>((1+D39/100)*(1+D40/100)-1)*100</f>
        <v>-0.9715060168100309</v>
      </c>
      <c r="E41" s="37">
        <f aca="true" t="shared" si="19" ref="E41:Y41">((1+E39/100)*(1+E40/100)-1)*100</f>
        <v>11.843619160067087</v>
      </c>
      <c r="F41" s="37">
        <f t="shared" si="19"/>
        <v>19.541236059313995</v>
      </c>
      <c r="G41" s="37">
        <f t="shared" si="19"/>
        <v>15.077959937804497</v>
      </c>
      <c r="H41" s="37">
        <f t="shared" si="19"/>
        <v>11.401141599929199</v>
      </c>
      <c r="I41" s="37">
        <f t="shared" si="19"/>
        <v>11.17183352546296</v>
      </c>
      <c r="J41" s="37">
        <f t="shared" si="19"/>
        <v>24.861258092508454</v>
      </c>
      <c r="K41" s="37">
        <f t="shared" si="19"/>
        <v>-21.569480536427488</v>
      </c>
      <c r="L41" s="37">
        <f t="shared" si="19"/>
        <v>12.82907555328483</v>
      </c>
      <c r="M41" s="37">
        <f t="shared" si="19"/>
        <v>15.425067295193816</v>
      </c>
      <c r="N41" s="37"/>
      <c r="O41" s="42">
        <f>AVERAGE(D41:M41)</f>
        <v>9.961020467032732</v>
      </c>
      <c r="P41" s="42"/>
      <c r="Q41" s="42">
        <f>STDEV(D41:M41)</f>
        <v>12.90494760066813</v>
      </c>
      <c r="R41" s="42"/>
      <c r="S41" s="37">
        <f t="shared" si="19"/>
        <v>1.4916035372531944</v>
      </c>
      <c r="T41" s="37">
        <f t="shared" si="19"/>
        <v>1.9251208601722025</v>
      </c>
      <c r="U41" s="37">
        <f t="shared" si="19"/>
        <v>3.0981221359417166</v>
      </c>
      <c r="V41" s="37">
        <f t="shared" si="19"/>
        <v>1.9623466631461417</v>
      </c>
      <c r="W41" s="37">
        <f t="shared" si="19"/>
        <v>1.9106324312814449</v>
      </c>
      <c r="X41" s="37">
        <f t="shared" si="19"/>
        <v>2.197196160975312</v>
      </c>
      <c r="Y41" s="37">
        <f t="shared" si="19"/>
        <v>2.197196160975312</v>
      </c>
      <c r="Z41" s="37"/>
      <c r="AA41" s="72">
        <f t="shared" si="16"/>
        <v>2.218683650303364</v>
      </c>
    </row>
    <row r="42" spans="2:27" ht="12.75">
      <c r="B42" s="11" t="s">
        <v>45</v>
      </c>
      <c r="C42" s="11"/>
      <c r="D42" s="18">
        <f>IF(ISNUMBER(100*Input_external!H5/Input_external!G4),(100*Input_external!H5/Input_external!G4),".")</f>
        <v>10.440068719439672</v>
      </c>
      <c r="E42" s="18">
        <f>IF(ISNUMBER(100*Input_external!I5/Input_external!H4),(100*Input_external!I5/Input_external!H4),".")</f>
        <v>9.186467626534759</v>
      </c>
      <c r="F42" s="18">
        <f>IF(ISNUMBER(100*Input_external!J5/Input_external!I4),(100*Input_external!J5/Input_external!I4),".")</f>
        <v>8.52135262556149</v>
      </c>
      <c r="G42" s="18">
        <f>IF(ISNUMBER(100*Input_external!K5/Input_external!J4),(100*Input_external!K5/Input_external!J4),".")</f>
        <v>7.469868475321937</v>
      </c>
      <c r="H42" s="18">
        <f>IF(ISNUMBER(100*Input_external!L5/Input_external!K4),(100*Input_external!L5/Input_external!K4),".")</f>
        <v>12.563983248022335</v>
      </c>
      <c r="I42" s="18">
        <f>IF(ISNUMBER(100*Input_external!M5/Input_external!L4),(100*Input_external!M5/Input_external!L4),".")</f>
        <v>4.098360655737705</v>
      </c>
      <c r="J42" s="18">
        <f>IF(ISNUMBER(100*Input_external!N5/Input_external!M4),(100*Input_external!N5/Input_external!M4),".")</f>
        <v>3.278688524590164</v>
      </c>
      <c r="K42" s="42">
        <f>IF(ISNUMBER(100*Input_external!O5/Input_external!N4),(100*Input_external!O5/Input_external!N4),".")</f>
        <v>2.8711366323256207</v>
      </c>
      <c r="L42" s="42">
        <f>IF(ISNUMBER(100*Input_external!P5/Input_external!O4),(100*Input_external!P5/Input_external!O4),".")</f>
        <v>1.9342257733825916</v>
      </c>
      <c r="M42" s="42">
        <f>IF(ISNUMBER(100*Input_external!Q5/Input_external!P4),(100*Input_external!Q5/Input_external!P4),".")</f>
        <v>2.18636103076144</v>
      </c>
      <c r="O42" s="42">
        <f>AVERAGE(D42:M42)</f>
        <v>6.255051331167772</v>
      </c>
      <c r="P42" s="40"/>
      <c r="Q42" s="42">
        <f>STDEV(D42:M42)</f>
        <v>3.8399479075665797</v>
      </c>
      <c r="S42" s="42">
        <f>IF(ISNUMBER(100*Input_external!R5/Input_external!Q4),(100*Input_external!R5/Input_external!Q4),".")</f>
        <v>2.457618941884664</v>
      </c>
      <c r="T42" s="42">
        <f>IF(ISNUMBER(100*Input_external!S5/Input_external!R4),(100*Input_external!S5/Input_external!R4),".")</f>
        <v>2.502122819976412</v>
      </c>
      <c r="U42" s="42">
        <f>IF(ISNUMBER(100*Input_external!T5/Input_external!S4),(100*Input_external!T5/Input_external!S4),".")</f>
        <v>2.5129755377379275</v>
      </c>
      <c r="V42" s="42">
        <f>IF(ISNUMBER(100*Input_external!U5/Input_external!T4),(100*Input_external!U5/Input_external!T4),".")</f>
        <v>2.8998508502124674</v>
      </c>
      <c r="W42" s="42">
        <f>IF(ISNUMBER(100*Input_external!V5/Input_external!U4),(100*Input_external!V5/Input_external!U4),".")</f>
        <v>2.9137878792874496</v>
      </c>
      <c r="X42" s="42">
        <f>IF(ISNUMBER(100*Input_external!W5/Input_external!V4),(100*Input_external!W5/Input_external!V4),".")</f>
        <v>2.901592925791173</v>
      </c>
      <c r="Y42" s="42">
        <f>X42</f>
        <v>2.901592925791173</v>
      </c>
      <c r="AA42" s="72">
        <f>AVERAGE(T42:X42)</f>
        <v>2.746066002601086</v>
      </c>
    </row>
    <row r="43" spans="2:27" ht="12.75">
      <c r="B43" s="11" t="s">
        <v>69</v>
      </c>
      <c r="C43" s="11"/>
      <c r="D43" s="18">
        <f>(Input_external!H7/Input_external!G7-1)*100</f>
        <v>0.03679668829805749</v>
      </c>
      <c r="E43" s="18">
        <f>(Input_external!I7/Input_external!H7-1)*100</f>
        <v>30.09041858828656</v>
      </c>
      <c r="F43" s="18">
        <f>(Input_external!J7/Input_external!I7-1)*100</f>
        <v>30.88812139838646</v>
      </c>
      <c r="G43" s="18">
        <f>(Input_external!K7/Input_external!J7-1)*100</f>
        <v>43.351173568861334</v>
      </c>
      <c r="H43" s="18">
        <f>(Input_external!L7/Input_external!K7-1)*100</f>
        <v>17.362817362817353</v>
      </c>
      <c r="I43" s="18">
        <f>(Input_external!M7/Input_external!L7-1)*100</f>
        <v>10.746685275645484</v>
      </c>
      <c r="J43" s="18">
        <f>(Input_external!N7/Input_external!M7-1)*100</f>
        <v>29.304024889729053</v>
      </c>
      <c r="K43" s="42">
        <f>(Input_external!O7/Input_external!N7-1)*100</f>
        <v>-41.31420583964647</v>
      </c>
      <c r="L43" s="42">
        <f>(Input_external!P7/Input_external!O7-1)*100</f>
        <v>25.970139332677444</v>
      </c>
      <c r="M43" s="42">
        <f>(Input_external!Q7/Input_external!P7-1)*100</f>
        <v>26.57877107911211</v>
      </c>
      <c r="O43" s="42">
        <f t="shared" si="17"/>
        <v>17.301474234416737</v>
      </c>
      <c r="P43" s="43"/>
      <c r="Q43" s="42">
        <f t="shared" si="18"/>
        <v>23.825411714789603</v>
      </c>
      <c r="S43" s="42">
        <f>(Input_external!R7/Input_external!Q7-1)*100</f>
        <v>-8.314751312826118</v>
      </c>
      <c r="T43" s="42">
        <f>(Input_external!S7/Input_external!R7-1)*100</f>
        <v>-3.3885534213677904</v>
      </c>
      <c r="U43" s="42">
        <f>(Input_external!T7/Input_external!S7-1)*100</f>
        <v>0.6925607957811497</v>
      </c>
      <c r="V43" s="42">
        <f>(Input_external!U7/Input_external!T7-1)*100</f>
        <v>-2.349152716427272</v>
      </c>
      <c r="W43" s="42">
        <f>(Input_external!V7/Input_external!U7-1)*100</f>
        <v>-0.4436811669179752</v>
      </c>
      <c r="X43" s="42">
        <f>(Input_external!W7/Input_external!V7-1)*100</f>
        <v>0.7579990791025448</v>
      </c>
      <c r="AA43" s="72">
        <f t="shared" si="16"/>
        <v>-0.9461654859658685</v>
      </c>
    </row>
    <row r="44" spans="2:27" ht="12.75">
      <c r="B44" s="11" t="s">
        <v>70</v>
      </c>
      <c r="C44" s="11"/>
      <c r="D44" s="18">
        <f>(Input_external!H8/Input_external!G8-1)*100</f>
        <v>21.540010065425253</v>
      </c>
      <c r="E44" s="18">
        <f>(Input_external!I8/Input_external!H8-1)*100</f>
        <v>12.298136645962732</v>
      </c>
      <c r="F44" s="18">
        <f>(Input_external!J8/Input_external!I8-1)*100</f>
        <v>34.05850540806294</v>
      </c>
      <c r="G44" s="18">
        <f>(Input_external!K8/Input_external!J8-1)*100</f>
        <v>12.941230402493819</v>
      </c>
      <c r="H44" s="18">
        <f>(Input_external!L8/Input_external!K8-1)*100</f>
        <v>3.340504119819787</v>
      </c>
      <c r="I44" s="18">
        <f>(Input_external!M8/Input_external!L8-1)*100</f>
        <v>30.714846818538888</v>
      </c>
      <c r="J44" s="18">
        <f>(Input_external!N8/Input_external!M8-1)*100</f>
        <v>47.44591346153846</v>
      </c>
      <c r="K44" s="42">
        <f>(Input_external!O8/Input_external!N8-1)*100</f>
        <v>0.020379050336249982</v>
      </c>
      <c r="L44" s="42">
        <f>(Input_external!P8/Input_external!O8-1)*100</f>
        <v>3.4839262428687734</v>
      </c>
      <c r="M44" s="42">
        <f>(Input_external!Q8/Input_external!P8-1)*100</f>
        <v>11.325841860618159</v>
      </c>
      <c r="O44" s="42">
        <f t="shared" si="17"/>
        <v>17.716929407566504</v>
      </c>
      <c r="P44" s="43"/>
      <c r="Q44" s="42">
        <f t="shared" si="18"/>
        <v>15.455548789637326</v>
      </c>
      <c r="S44" s="42">
        <f>(Input_external!R8/Input_external!Q8-1)*100</f>
        <v>1.6240463094898239</v>
      </c>
      <c r="T44" s="42">
        <f>(Input_external!S8/Input_external!R8-1)*100</f>
        <v>1.3781896600373544</v>
      </c>
      <c r="U44" s="42">
        <f>(Input_external!T8/Input_external!S8-1)*100</f>
        <v>0.22698804068845835</v>
      </c>
      <c r="V44" s="42">
        <f>(Input_external!U8/Input_external!T8-1)*100</f>
        <v>-1.3526992764481216</v>
      </c>
      <c r="W44" s="42">
        <f>(Input_external!V8/Input_external!U8-1)*100</f>
        <v>0.2609175789251905</v>
      </c>
      <c r="X44" s="42">
        <f>(Input_external!W8/Input_external!V8-1)*100</f>
        <v>2.1076190543933393</v>
      </c>
      <c r="AA44" s="72">
        <f t="shared" si="16"/>
        <v>0.5242030115192442</v>
      </c>
    </row>
    <row r="45" spans="2:27" ht="12.75">
      <c r="B45" t="s">
        <v>121</v>
      </c>
      <c r="C45" s="11"/>
      <c r="D45" s="18">
        <f>-D16</f>
        <v>11.85531648987353</v>
      </c>
      <c r="E45" s="18">
        <f aca="true" t="shared" si="20" ref="E45:M45">-E16</f>
        <v>16.043957123545873</v>
      </c>
      <c r="F45" s="18">
        <f t="shared" si="20"/>
        <v>15.356985015745572</v>
      </c>
      <c r="G45" s="18">
        <f t="shared" si="20"/>
        <v>22.10128010482221</v>
      </c>
      <c r="H45" s="18">
        <f t="shared" si="20"/>
        <v>26.5243790871535</v>
      </c>
      <c r="I45" s="18">
        <f t="shared" si="20"/>
        <v>22.955499473469303</v>
      </c>
      <c r="J45" s="18">
        <f t="shared" si="20"/>
        <v>20.173950961975272</v>
      </c>
      <c r="K45" s="18">
        <f t="shared" si="20"/>
        <v>0.4208268083538204</v>
      </c>
      <c r="L45" s="18">
        <f t="shared" si="20"/>
        <v>7.613319237580539</v>
      </c>
      <c r="M45" s="18">
        <f t="shared" si="20"/>
        <v>10.397963540003312</v>
      </c>
      <c r="O45" s="42">
        <f>-AVERAGE(D16:M16)</f>
        <v>15.344347784252289</v>
      </c>
      <c r="Q45" s="42">
        <f>STDEV(D16:M16)</f>
        <v>7.968785501420509</v>
      </c>
      <c r="S45" s="18">
        <f aca="true" t="shared" si="21" ref="S45:X45">-S16</f>
        <v>5.628884513488823</v>
      </c>
      <c r="T45" s="18">
        <f t="shared" si="21"/>
        <v>3.7382996960749435</v>
      </c>
      <c r="U45" s="18">
        <f t="shared" si="21"/>
        <v>4.095450899101573</v>
      </c>
      <c r="V45" s="18">
        <f t="shared" si="21"/>
        <v>3.9974138665881767</v>
      </c>
      <c r="W45" s="18">
        <f t="shared" si="21"/>
        <v>4.045665893725947</v>
      </c>
      <c r="X45" s="18">
        <f t="shared" si="21"/>
        <v>4.71240026515964</v>
      </c>
      <c r="Y45" s="18"/>
      <c r="Z45" s="18"/>
      <c r="AA45" s="72">
        <f t="shared" si="16"/>
        <v>4.117846124130056</v>
      </c>
    </row>
    <row r="46" spans="2:27" ht="12.75">
      <c r="B46" t="s">
        <v>62</v>
      </c>
      <c r="C46" s="11"/>
      <c r="D46" s="18">
        <f>-D20</f>
        <v>1.7089290483771113</v>
      </c>
      <c r="E46" s="18">
        <f aca="true" t="shared" si="22" ref="E46:M46">-E20</f>
        <v>0.913597852369438</v>
      </c>
      <c r="F46" s="18">
        <f t="shared" si="22"/>
        <v>0.726476529600182</v>
      </c>
      <c r="G46" s="18">
        <f t="shared" si="22"/>
        <v>1.0269301236624533</v>
      </c>
      <c r="H46" s="18">
        <f t="shared" si="22"/>
        <v>1.5005756089164308</v>
      </c>
      <c r="I46" s="18">
        <f t="shared" si="22"/>
        <v>1.0200789581139456</v>
      </c>
      <c r="J46" s="18">
        <f t="shared" si="22"/>
        <v>1.4500564382631769</v>
      </c>
      <c r="K46" s="18">
        <f t="shared" si="22"/>
        <v>1.8410647364717936</v>
      </c>
      <c r="L46" s="18">
        <f t="shared" si="22"/>
        <v>1.1817437382774247</v>
      </c>
      <c r="M46" s="18">
        <f t="shared" si="22"/>
        <v>0.8809882228706428</v>
      </c>
      <c r="O46" s="42">
        <f>-AVERAGE(D20:M20)</f>
        <v>1.22504412569226</v>
      </c>
      <c r="Q46" s="42">
        <f>STDEV(D20:M20)</f>
        <v>0.3781904054456329</v>
      </c>
      <c r="S46" s="18">
        <f aca="true" t="shared" si="23" ref="S46:X46">-S20</f>
        <v>0.8439007951753188</v>
      </c>
      <c r="T46" s="18">
        <f t="shared" si="23"/>
        <v>0.9677358558458236</v>
      </c>
      <c r="U46" s="18">
        <f t="shared" si="23"/>
        <v>0.9240912147629262</v>
      </c>
      <c r="V46" s="18">
        <f t="shared" si="23"/>
        <v>0.8935420334131181</v>
      </c>
      <c r="W46" s="18">
        <f t="shared" si="23"/>
        <v>0.8585705162336255</v>
      </c>
      <c r="X46" s="18">
        <f t="shared" si="23"/>
        <v>0.867825187332338</v>
      </c>
      <c r="Y46" s="18"/>
      <c r="Z46" s="18"/>
      <c r="AA46" s="72">
        <f t="shared" si="16"/>
        <v>0.9023529615175663</v>
      </c>
    </row>
    <row r="47" spans="3:27" ht="6.75" customHeight="1">
      <c r="C47" s="11"/>
      <c r="D47" s="18"/>
      <c r="E47" s="18"/>
      <c r="K47" s="18"/>
      <c r="L47" s="18"/>
      <c r="M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2:28" ht="12.75">
      <c r="B48" s="11"/>
      <c r="C48" s="11"/>
      <c r="Z48" s="61"/>
      <c r="AA48" s="61" t="s">
        <v>113</v>
      </c>
      <c r="AB48" s="1"/>
    </row>
    <row r="49" spans="3:28" ht="12.75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81"/>
      <c r="P49" s="61"/>
      <c r="Q49" s="81"/>
      <c r="R49" s="61"/>
      <c r="S49" s="131" t="s">
        <v>47</v>
      </c>
      <c r="T49" s="131"/>
      <c r="U49" s="131"/>
      <c r="V49" s="131"/>
      <c r="W49" s="131"/>
      <c r="X49" s="131"/>
      <c r="Y49" s="61"/>
      <c r="Z49" s="40"/>
      <c r="AA49" s="61" t="s">
        <v>114</v>
      </c>
      <c r="AB49" s="1"/>
    </row>
    <row r="50" spans="2:28" ht="12.75">
      <c r="B50" s="1" t="s">
        <v>122</v>
      </c>
      <c r="Z50" s="35"/>
      <c r="AA50" s="61" t="s">
        <v>130</v>
      </c>
      <c r="AB50" s="1"/>
    </row>
    <row r="51" spans="2:28" ht="4.5" customHeight="1">
      <c r="B51" s="1"/>
      <c r="Z51" s="35"/>
      <c r="AA51" s="61"/>
      <c r="AB51" s="1"/>
    </row>
    <row r="52" spans="2:28" ht="12.75">
      <c r="B52" s="45" t="str">
        <f>"A1. Key variables are at their historical averages in "&amp;S8&amp;"-"&amp;X8&amp;" 4/"</f>
        <v>A1. Key variables are at their historical averages in 2015-2020 4/</v>
      </c>
      <c r="S52" s="35">
        <f>'A1_historical'!O12</f>
        <v>2.514588096821696</v>
      </c>
      <c r="T52" s="35">
        <f>'A1_historical'!P12</f>
        <v>-9.842422447948683</v>
      </c>
      <c r="U52" s="35">
        <f>'A1_historical'!Q12</f>
        <v>-21.293993138283547</v>
      </c>
      <c r="V52" s="35">
        <f>'A1_historical'!R12</f>
        <v>-32.388396314084126</v>
      </c>
      <c r="W52" s="35">
        <f>'A1_historical'!S12</f>
        <v>-42.92141634315797</v>
      </c>
      <c r="X52" s="35">
        <f>'A1_historical'!T12</f>
        <v>-52.45483189850952</v>
      </c>
      <c r="Y52" s="35"/>
      <c r="AA52" s="71">
        <f>-'A1_historical'!U16</f>
        <v>2.568605069811402</v>
      </c>
      <c r="AB52" s="47"/>
    </row>
    <row r="53" spans="2:28" ht="8.25" customHeight="1">
      <c r="B53" s="45"/>
      <c r="S53" s="35"/>
      <c r="T53" s="35"/>
      <c r="U53" s="35"/>
      <c r="V53" s="35"/>
      <c r="W53" s="35"/>
      <c r="X53" s="35"/>
      <c r="Y53" s="35"/>
      <c r="AB53" s="47"/>
    </row>
    <row r="54" spans="2:28" ht="12.75">
      <c r="B54" s="66" t="s">
        <v>126</v>
      </c>
      <c r="S54" s="35"/>
      <c r="T54" s="35"/>
      <c r="U54" s="35"/>
      <c r="V54" s="35"/>
      <c r="W54" s="35"/>
      <c r="X54" s="35"/>
      <c r="Y54" s="35"/>
      <c r="AB54" s="47"/>
    </row>
    <row r="55" spans="2:28" ht="6" customHeight="1">
      <c r="B55" s="66"/>
      <c r="S55" s="35"/>
      <c r="T55" s="35"/>
      <c r="U55" s="35"/>
      <c r="V55" s="35"/>
      <c r="W55" s="35"/>
      <c r="X55" s="35"/>
      <c r="Y55" s="35"/>
      <c r="AB55" s="47"/>
    </row>
    <row r="56" spans="2:28" ht="12.75">
      <c r="B56" t="s">
        <v>170</v>
      </c>
      <c r="S56" s="40">
        <f>'B1_irate'!O12</f>
        <v>2.514588096821696</v>
      </c>
      <c r="T56" s="40">
        <f>'B1_irate'!P12</f>
        <v>2.4621394146635907</v>
      </c>
      <c r="U56" s="40">
        <f>'B1_irate'!Q12</f>
        <v>2.3988657791560315</v>
      </c>
      <c r="V56" s="40">
        <f>'B1_irate'!R12</f>
        <v>2.3267360705535194</v>
      </c>
      <c r="W56" s="40">
        <f>'B1_irate'!S12</f>
        <v>2.263041144210695</v>
      </c>
      <c r="X56" s="40">
        <f>'B1_irate'!T12</f>
        <v>2.1799815522750605</v>
      </c>
      <c r="Y56" s="40"/>
      <c r="Z56" s="40"/>
      <c r="AA56" s="71">
        <f>-'B1_irate'!U16</f>
        <v>-0.8768728743002627</v>
      </c>
      <c r="AB56" s="47"/>
    </row>
    <row r="57" spans="2:28" ht="12.75">
      <c r="B57" t="s">
        <v>171</v>
      </c>
      <c r="S57" s="40">
        <f>'B2_GDP'!O12</f>
        <v>2.514588096821696</v>
      </c>
      <c r="T57" s="40">
        <f>'B2_GDP'!P12</f>
        <v>2.6338914644185203</v>
      </c>
      <c r="U57" s="40">
        <f>'B2_GDP'!Q12</f>
        <v>2.871434140579456</v>
      </c>
      <c r="V57" s="40">
        <f>'B2_GDP'!R12</f>
        <v>3.1980787459086373</v>
      </c>
      <c r="W57" s="40">
        <f>'B2_GDP'!S12</f>
        <v>3.64539739102818</v>
      </c>
      <c r="X57" s="40">
        <f>'B2_GDP'!T12</f>
        <v>4.2848020772661375</v>
      </c>
      <c r="Y57" s="40"/>
      <c r="Z57" s="40"/>
      <c r="AA57" s="71">
        <f>-'B2_GDP'!U16</f>
        <v>-1.0743263900572977</v>
      </c>
      <c r="AB57" s="47"/>
    </row>
    <row r="58" spans="2:28" ht="12.75">
      <c r="B58" t="s">
        <v>172</v>
      </c>
      <c r="S58" s="40">
        <f>'B3_CAB'!O12</f>
        <v>2.514588096821696</v>
      </c>
      <c r="T58" s="40">
        <f>'B3_CAB'!P12</f>
        <v>6.400014248112379</v>
      </c>
      <c r="U58" s="40">
        <f>'B3_CAB'!Q12</f>
        <v>10.174724241367526</v>
      </c>
      <c r="V58" s="40">
        <f>'B3_CAB'!R12</f>
        <v>13.948695576185505</v>
      </c>
      <c r="W58" s="40">
        <f>'B3_CAB'!S12</f>
        <v>17.6107522148321</v>
      </c>
      <c r="X58" s="40">
        <f>'B3_CAB'!T12</f>
        <v>21.127156794799014</v>
      </c>
      <c r="Y58" s="40"/>
      <c r="Z58" s="40"/>
      <c r="AA58" s="71">
        <f>-'B3_CAB'!U16</f>
        <v>-1.3408817227658312</v>
      </c>
      <c r="AB58" s="47"/>
    </row>
    <row r="59" spans="2:28" ht="12.75">
      <c r="B59" t="s">
        <v>178</v>
      </c>
      <c r="J59" s="28"/>
      <c r="K59" s="40"/>
      <c r="L59" s="40"/>
      <c r="M59" s="40"/>
      <c r="N59" s="40"/>
      <c r="O59" s="40"/>
      <c r="P59" s="40"/>
      <c r="Q59" s="40"/>
      <c r="R59" s="40"/>
      <c r="S59" s="40">
        <f>'B4_Combined'!O12</f>
        <v>2.514588096821696</v>
      </c>
      <c r="T59" s="40">
        <f>'B4_Combined'!P12</f>
        <v>4.624343085691031</v>
      </c>
      <c r="U59" s="40">
        <f>'B4_Combined'!Q12</f>
        <v>6.808145490436955</v>
      </c>
      <c r="V59" s="40">
        <f>'B4_Combined'!R12</f>
        <v>9.095367384107089</v>
      </c>
      <c r="W59" s="40">
        <f>'B4_Combined'!S12</f>
        <v>11.448315099952183</v>
      </c>
      <c r="X59" s="40">
        <f>'B4_Combined'!T12</f>
        <v>13.92047622029952</v>
      </c>
      <c r="Y59" s="40"/>
      <c r="Z59" s="40"/>
      <c r="AA59" s="71">
        <f>-'B4_Combined'!U16</f>
        <v>-1.1225971203498177</v>
      </c>
      <c r="AB59" s="47"/>
    </row>
    <row r="60" spans="2:28" ht="12.75">
      <c r="B60" t="str">
        <f>"B5. One time 30 percent real depreciation in "&amp;T8</f>
        <v>B5. One time 30 percent real depreciation in 2016</v>
      </c>
      <c r="S60" s="40">
        <f>'B5_Depreciation'!O12</f>
        <v>2.514588096821696</v>
      </c>
      <c r="T60" s="40">
        <f>'B5_Depreciation'!P12</f>
        <v>3.257152799669518</v>
      </c>
      <c r="U60" s="40">
        <f>'B5_Depreciation'!Q12</f>
        <v>3.1047008779995235</v>
      </c>
      <c r="V60" s="40">
        <f>'B5_Depreciation'!R12</f>
        <v>2.9311007203896717</v>
      </c>
      <c r="W60" s="40">
        <f>'B5_Depreciation'!S12</f>
        <v>2.7767192511712087</v>
      </c>
      <c r="X60" s="40">
        <f>'B5_Depreciation'!T12</f>
        <v>2.595834036504279</v>
      </c>
      <c r="Y60" s="40"/>
      <c r="Z60" s="40"/>
      <c r="AA60" s="71">
        <f>-'B5_Depreciation'!U16</f>
        <v>-1.456591014978854</v>
      </c>
      <c r="AB60" s="47"/>
    </row>
    <row r="61" ht="12.75">
      <c r="AA61" s="42"/>
    </row>
    <row r="62" spans="2:27" ht="12.75">
      <c r="B62" s="3"/>
      <c r="C62" s="3"/>
      <c r="D62" s="3"/>
      <c r="E62" s="3"/>
      <c r="F62" s="38"/>
      <c r="G62" s="38"/>
      <c r="H62" s="38"/>
      <c r="I62" s="38"/>
      <c r="J62" s="38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2:26" ht="12.75">
      <c r="B63" s="10" t="s">
        <v>92</v>
      </c>
      <c r="C63" s="5"/>
      <c r="D63" s="5"/>
      <c r="E63" s="5"/>
      <c r="F63" s="21"/>
      <c r="G63" s="21"/>
      <c r="H63" s="21"/>
      <c r="I63" s="21"/>
      <c r="J63" s="21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2:26" ht="12.75">
      <c r="B64" s="10" t="s">
        <v>93</v>
      </c>
      <c r="C64" s="5"/>
      <c r="D64" s="5"/>
      <c r="E64" s="5"/>
      <c r="F64" s="21"/>
      <c r="G64" s="21"/>
      <c r="H64" s="21"/>
      <c r="I64" s="21"/>
      <c r="J64" s="21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2:3" ht="12.75">
      <c r="B65" s="10" t="s">
        <v>94</v>
      </c>
      <c r="C65" s="10"/>
    </row>
    <row r="66" spans="2:3" ht="12.75">
      <c r="B66" s="10" t="s">
        <v>95</v>
      </c>
      <c r="C66" s="10"/>
    </row>
    <row r="67" spans="2:3" ht="12.75">
      <c r="B67" s="10" t="s">
        <v>102</v>
      </c>
      <c r="C67" s="10"/>
    </row>
    <row r="68" ht="12.75">
      <c r="B68" s="10" t="s">
        <v>123</v>
      </c>
    </row>
    <row r="69" ht="12.75">
      <c r="B69" s="10" t="s">
        <v>124</v>
      </c>
    </row>
    <row r="70" ht="12.75">
      <c r="B70" s="10" t="s">
        <v>148</v>
      </c>
    </row>
    <row r="71" ht="12.75">
      <c r="B71" t="s">
        <v>140</v>
      </c>
    </row>
  </sheetData>
  <sheetProtection/>
  <mergeCells count="5">
    <mergeCell ref="F7:M7"/>
    <mergeCell ref="S10:X10"/>
    <mergeCell ref="S49:X49"/>
    <mergeCell ref="B3:AA3"/>
    <mergeCell ref="B4:AA4"/>
  </mergeCells>
  <printOptions horizontalCentered="1" verticalCentered="1"/>
  <pageMargins left="0.5" right="0.75" top="0.25" bottom="0.25" header="0.5" footer="0.5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W11"/>
  <sheetViews>
    <sheetView zoomScalePageLayoutView="0" workbookViewId="0" topLeftCell="A1">
      <pane xSplit="2" ySplit="2" topLeftCell="C3" activePane="bottomRight" state="frozen"/>
      <selection pane="topLeft" activeCell="DI28" sqref="DI28"/>
      <selection pane="topRight" activeCell="DI28" sqref="DI28"/>
      <selection pane="bottomLeft" activeCell="DI28" sqref="DI28"/>
      <selection pane="bottomRight" activeCell="F6" sqref="F6"/>
    </sheetView>
  </sheetViews>
  <sheetFormatPr defaultColWidth="9.33203125" defaultRowHeight="12.75"/>
  <cols>
    <col min="1" max="1" width="12.16015625" style="0" customWidth="1"/>
    <col min="2" max="2" width="18.33203125" style="0" bestFit="1" customWidth="1"/>
    <col min="14" max="14" width="3.5" style="0" customWidth="1"/>
    <col min="15" max="15" width="7.66015625" style="0" customWidth="1"/>
    <col min="16" max="16" width="8.5" style="0" customWidth="1"/>
    <col min="17" max="17" width="8.83203125" style="0" customWidth="1"/>
    <col min="18" max="18" width="4.66015625" style="0" customWidth="1"/>
    <col min="19" max="19" width="4.66015625" style="0" bestFit="1" customWidth="1"/>
    <col min="21" max="21" width="9.83203125" style="0" bestFit="1" customWidth="1"/>
  </cols>
  <sheetData>
    <row r="1" spans="3:19" ht="12.75">
      <c r="C1" s="136" t="s">
        <v>57</v>
      </c>
      <c r="D1" s="136"/>
      <c r="E1" s="136"/>
      <c r="F1" s="136"/>
      <c r="G1" s="136"/>
      <c r="H1" s="136" t="s">
        <v>21</v>
      </c>
      <c r="I1" s="136"/>
      <c r="J1" s="136"/>
      <c r="K1" s="136"/>
      <c r="L1" s="136"/>
      <c r="M1" s="136"/>
      <c r="O1" s="137" t="s">
        <v>161</v>
      </c>
      <c r="P1" s="137"/>
      <c r="Q1" s="137"/>
      <c r="R1" s="74"/>
      <c r="S1" s="74" t="s">
        <v>162</v>
      </c>
    </row>
    <row r="2" spans="3:19" ht="12.75">
      <c r="C2" s="79">
        <f>D2-1</f>
        <v>2010</v>
      </c>
      <c r="D2" s="79">
        <f>E2-1</f>
        <v>2011</v>
      </c>
      <c r="E2" s="79">
        <f>F2-1</f>
        <v>2012</v>
      </c>
      <c r="F2" s="79">
        <f>G2-1</f>
        <v>2013</v>
      </c>
      <c r="G2" s="79">
        <f>H2-1</f>
        <v>2014</v>
      </c>
      <c r="H2" s="77" t="str">
        <f>Table!S8</f>
        <v>2015</v>
      </c>
      <c r="I2" s="78">
        <f>H2+1</f>
        <v>2016</v>
      </c>
      <c r="J2" s="78">
        <f>I2+1</f>
        <v>2017</v>
      </c>
      <c r="K2" s="78">
        <f>J2+1</f>
        <v>2018</v>
      </c>
      <c r="L2" s="78">
        <f>K2+1</f>
        <v>2019</v>
      </c>
      <c r="M2" s="78">
        <f>L2+1</f>
        <v>2020</v>
      </c>
      <c r="O2" s="75" t="s">
        <v>155</v>
      </c>
      <c r="P2" s="75" t="s">
        <v>169</v>
      </c>
      <c r="Q2" s="75" t="s">
        <v>57</v>
      </c>
      <c r="R2" s="75"/>
      <c r="S2" s="75"/>
    </row>
    <row r="3" spans="1:19" ht="12.75">
      <c r="A3" t="s">
        <v>156</v>
      </c>
      <c r="B3" t="s">
        <v>156</v>
      </c>
      <c r="C3" s="18">
        <f>'A1_historical'!I12</f>
        <v>4.314859534503879</v>
      </c>
      <c r="D3" s="18">
        <f>'A1_historical'!J12</f>
        <v>3.4481060927535223</v>
      </c>
      <c r="E3" s="18">
        <f>'A1_historical'!K12</f>
        <v>4.122122200101253</v>
      </c>
      <c r="F3" s="18">
        <f>'A1_historical'!L12</f>
        <v>3.533196087813501</v>
      </c>
      <c r="G3" s="18">
        <f>'A1_historical'!M12</f>
        <v>2.6753682908552867</v>
      </c>
      <c r="H3" s="18">
        <f>'A1_historical'!O12</f>
        <v>2.514588096821696</v>
      </c>
      <c r="I3" s="18">
        <f>'A1_historical'!P12</f>
        <v>-9.842422447948683</v>
      </c>
      <c r="J3" s="18">
        <f>'A1_historical'!Q12</f>
        <v>-21.293993138283547</v>
      </c>
      <c r="K3" s="18">
        <f>'A1_historical'!R12</f>
        <v>-32.388396314084126</v>
      </c>
      <c r="L3" s="18">
        <f>'A1_historical'!S12</f>
        <v>-42.92141634315797</v>
      </c>
      <c r="M3" s="18">
        <f>'A1_historical'!T12</f>
        <v>-52.45483189850952</v>
      </c>
      <c r="O3" s="22"/>
      <c r="P3" s="22"/>
      <c r="Q3" s="22"/>
      <c r="R3" s="22"/>
      <c r="S3" s="22"/>
    </row>
    <row r="4" spans="1:21" ht="12.75">
      <c r="A4" t="s">
        <v>153</v>
      </c>
      <c r="B4" t="s">
        <v>153</v>
      </c>
      <c r="C4" s="18">
        <f>Table!I$33</f>
        <v>-21.77905804732329</v>
      </c>
      <c r="D4" s="18">
        <f>Table!J$33</f>
        <v>-18.956835317007386</v>
      </c>
      <c r="E4" s="18">
        <f>Table!K$33</f>
        <v>0.7244024371680038</v>
      </c>
      <c r="F4" s="18">
        <f>Table!L$33</f>
        <v>-6.00863563507751</v>
      </c>
      <c r="G4" s="18">
        <f>Table!M$33</f>
        <v>-9.017597987456698</v>
      </c>
      <c r="H4" s="18">
        <f>Table!S$33</f>
        <v>-5.140078121884597</v>
      </c>
      <c r="I4" s="18">
        <f>Table!T$33</f>
        <v>-3.34271847832079</v>
      </c>
      <c r="J4" s="18">
        <f>Table!U$33</f>
        <v>-3.7737945789312444</v>
      </c>
      <c r="K4" s="18">
        <f>Table!V$33</f>
        <v>-3.6473590652302845</v>
      </c>
      <c r="L4" s="18">
        <f>Table!W$33</f>
        <v>-3.741616056433264</v>
      </c>
      <c r="M4" s="18">
        <f>Table!X$33</f>
        <v>-4.42076531746339</v>
      </c>
      <c r="U4" s="18"/>
    </row>
    <row r="5" spans="1:23" ht="12.75">
      <c r="A5" t="s">
        <v>157</v>
      </c>
      <c r="B5" t="s">
        <v>157</v>
      </c>
      <c r="C5" s="18">
        <f>'B1_irate'!I$12</f>
        <v>4.314859534503879</v>
      </c>
      <c r="D5" s="18">
        <f>'B1_irate'!J$12</f>
        <v>3.4481060927535223</v>
      </c>
      <c r="E5" s="18">
        <f>'B1_irate'!K$12</f>
        <v>4.122122200101253</v>
      </c>
      <c r="F5" s="18">
        <f>'B1_irate'!L$12</f>
        <v>3.533196087813501</v>
      </c>
      <c r="G5" s="18">
        <f>'B1_irate'!M$12</f>
        <v>2.6753682908552867</v>
      </c>
      <c r="H5" s="18">
        <f>'B1_irate'!O$12</f>
        <v>2.514588096821696</v>
      </c>
      <c r="I5" s="18">
        <f>'B1_irate'!P$12</f>
        <v>2.4621394146635907</v>
      </c>
      <c r="J5" s="18">
        <f>'B1_irate'!Q$12</f>
        <v>2.3988657791560315</v>
      </c>
      <c r="K5" s="18">
        <f>'B1_irate'!R$12</f>
        <v>2.3267360705535194</v>
      </c>
      <c r="L5" s="18">
        <f>'B1_irate'!S$12</f>
        <v>2.263041144210695</v>
      </c>
      <c r="M5" s="18">
        <f>'B1_irate'!T$12</f>
        <v>2.1799815522750605</v>
      </c>
      <c r="O5" s="30">
        <f>Table!AA42</f>
        <v>2.746066002601086</v>
      </c>
      <c r="P5" s="30">
        <f>AVERAGE('B1_irate'!P42:T42)</f>
        <v>4.666039956384376</v>
      </c>
      <c r="Q5" s="30">
        <f>Table!O42</f>
        <v>6.255051331167772</v>
      </c>
      <c r="R5" s="30"/>
      <c r="S5" s="30">
        <f>Table!Q42</f>
        <v>3.8399479075665797</v>
      </c>
      <c r="U5" s="18">
        <f aca="true" t="shared" si="0" ref="U5:W7">ROUND(O5,1)</f>
        <v>2.7</v>
      </c>
      <c r="V5" s="18">
        <f t="shared" si="0"/>
        <v>4.7</v>
      </c>
      <c r="W5" s="18">
        <f t="shared" si="0"/>
        <v>6.3</v>
      </c>
    </row>
    <row r="6" spans="1:23" ht="12.75">
      <c r="A6" t="s">
        <v>158</v>
      </c>
      <c r="B6" t="s">
        <v>158</v>
      </c>
      <c r="C6" s="18">
        <f>'B2_GDP'!I$12</f>
        <v>4.314859534503879</v>
      </c>
      <c r="D6" s="18">
        <f>'B2_GDP'!J$12</f>
        <v>3.4481060927535223</v>
      </c>
      <c r="E6" s="18">
        <f>'B2_GDP'!K$12</f>
        <v>4.122122200101253</v>
      </c>
      <c r="F6" s="18">
        <f>'B2_GDP'!L$12</f>
        <v>3.533196087813501</v>
      </c>
      <c r="G6" s="18">
        <f>'B2_GDP'!M$12</f>
        <v>2.6753682908552867</v>
      </c>
      <c r="H6" s="18">
        <f>'B2_GDP'!O$12</f>
        <v>2.514588096821696</v>
      </c>
      <c r="I6" s="18">
        <f>'B2_GDP'!P$12</f>
        <v>2.6338914644185203</v>
      </c>
      <c r="J6" s="18">
        <f>'B2_GDP'!Q$12</f>
        <v>2.871434140579456</v>
      </c>
      <c r="K6" s="18">
        <f>'B2_GDP'!R$12</f>
        <v>3.1980787459086373</v>
      </c>
      <c r="L6" s="18">
        <f>'B2_GDP'!S$12</f>
        <v>3.64539739102818</v>
      </c>
      <c r="M6" s="18">
        <f>'B2_GDP'!T$12</f>
        <v>4.2848020772661375</v>
      </c>
      <c r="O6" s="30">
        <f>Table!AA38</f>
        <v>3.8446814084368475</v>
      </c>
      <c r="P6" s="30">
        <f>AVERAGE('B2_GDP'!P38:T38)</f>
        <v>3.0321348584301857</v>
      </c>
      <c r="Q6" s="30">
        <f>Table!O38</f>
        <v>3.7496090587012603</v>
      </c>
      <c r="R6" s="30"/>
      <c r="S6" s="30">
        <f>Table!Q38</f>
        <v>1.6250931000133242</v>
      </c>
      <c r="U6" s="18">
        <f t="shared" si="0"/>
        <v>3.8</v>
      </c>
      <c r="V6" s="18">
        <f t="shared" si="0"/>
        <v>3</v>
      </c>
      <c r="W6" s="18">
        <f t="shared" si="0"/>
        <v>3.7</v>
      </c>
    </row>
    <row r="7" spans="1:23" ht="12.75">
      <c r="A7" t="s">
        <v>159</v>
      </c>
      <c r="B7" t="s">
        <v>159</v>
      </c>
      <c r="C7" s="18">
        <f>'B3_CAB'!I$12</f>
        <v>4.314859534503879</v>
      </c>
      <c r="D7" s="18">
        <f>'B3_CAB'!J$12</f>
        <v>3.4481060927535223</v>
      </c>
      <c r="E7" s="18">
        <f>'B3_CAB'!K$12</f>
        <v>4.122122200101253</v>
      </c>
      <c r="F7" s="18">
        <f>'B3_CAB'!L$12</f>
        <v>3.533196087813501</v>
      </c>
      <c r="G7" s="18">
        <f>'B3_CAB'!M$12</f>
        <v>2.6753682908552867</v>
      </c>
      <c r="H7" s="18">
        <f>'B3_CAB'!O$12</f>
        <v>2.514588096821696</v>
      </c>
      <c r="I7" s="18">
        <f>'B3_CAB'!P$12</f>
        <v>6.400014248112379</v>
      </c>
      <c r="J7" s="18">
        <f>'B3_CAB'!Q$12</f>
        <v>10.174724241367526</v>
      </c>
      <c r="K7" s="18">
        <f>'B3_CAB'!R$12</f>
        <v>13.948695576185505</v>
      </c>
      <c r="L7" s="18">
        <f>'B3_CAB'!S$12</f>
        <v>17.6107522148321</v>
      </c>
      <c r="M7" s="18">
        <f>'B3_CAB'!T$12</f>
        <v>21.127156794799014</v>
      </c>
      <c r="O7" s="30">
        <f>Table!AA45</f>
        <v>4.117846124130056</v>
      </c>
      <c r="P7" s="30">
        <f>-AVERAGE('B3_CAB'!P16:T16)</f>
        <v>0.13345337341980149</v>
      </c>
      <c r="Q7" s="30">
        <f>Table!O45</f>
        <v>15.344347784252289</v>
      </c>
      <c r="S7" s="30">
        <f>Table!Q45</f>
        <v>7.968785501420509</v>
      </c>
      <c r="U7" s="18">
        <f t="shared" si="0"/>
        <v>4.1</v>
      </c>
      <c r="V7" s="18">
        <f t="shared" si="0"/>
        <v>0.1</v>
      </c>
      <c r="W7" s="18">
        <f t="shared" si="0"/>
        <v>15.3</v>
      </c>
    </row>
    <row r="8" spans="1:13" ht="12.75">
      <c r="A8" t="s">
        <v>160</v>
      </c>
      <c r="B8" t="s">
        <v>160</v>
      </c>
      <c r="C8" s="18">
        <f>'B4_Combined'!I$12</f>
        <v>4.314859534503879</v>
      </c>
      <c r="D8" s="18">
        <f>'B4_Combined'!J$12</f>
        <v>3.4481060927535223</v>
      </c>
      <c r="E8" s="18">
        <f>'B4_Combined'!K$12</f>
        <v>4.122122200101253</v>
      </c>
      <c r="F8" s="18">
        <f>'B4_Combined'!L$12</f>
        <v>3.533196087813501</v>
      </c>
      <c r="G8" s="18">
        <f>'B4_Combined'!M$12</f>
        <v>2.6753682908552867</v>
      </c>
      <c r="H8" s="18">
        <f>'B4_Combined'!O$12</f>
        <v>2.514588096821696</v>
      </c>
      <c r="I8" s="18">
        <f>'B4_Combined'!P$12</f>
        <v>4.624343085691031</v>
      </c>
      <c r="J8" s="18">
        <f>'B4_Combined'!Q$12</f>
        <v>6.808145490436955</v>
      </c>
      <c r="K8" s="18">
        <f>'B4_Combined'!R$12</f>
        <v>9.095367384107089</v>
      </c>
      <c r="L8" s="18">
        <f>'B4_Combined'!S$12</f>
        <v>11.448315099952183</v>
      </c>
      <c r="M8" s="18">
        <f>'B4_Combined'!T$12</f>
        <v>13.92047622029952</v>
      </c>
    </row>
    <row r="9" spans="1:23" ht="12.75">
      <c r="A9" t="s">
        <v>154</v>
      </c>
      <c r="B9" t="s">
        <v>154</v>
      </c>
      <c r="C9" s="18">
        <f>'B5_Depreciation'!I$12</f>
        <v>4.314859534503879</v>
      </c>
      <c r="D9" s="18">
        <f>'B5_Depreciation'!J$12</f>
        <v>3.4481060927535223</v>
      </c>
      <c r="E9" s="18">
        <f>'B5_Depreciation'!K$12</f>
        <v>4.122122200101253</v>
      </c>
      <c r="F9" s="18">
        <f>'B5_Depreciation'!L$12</f>
        <v>3.533196087813501</v>
      </c>
      <c r="G9" s="18">
        <f>'B5_Depreciation'!M$12</f>
        <v>2.6753682908552867</v>
      </c>
      <c r="H9" s="18">
        <f>'B5_Depreciation'!O$12</f>
        <v>2.514588096821696</v>
      </c>
      <c r="I9" s="18">
        <f>'B5_Depreciation'!P$12</f>
        <v>3.257152799669518</v>
      </c>
      <c r="J9" s="18">
        <f>'B5_Depreciation'!Q$12</f>
        <v>3.1047008779995235</v>
      </c>
      <c r="K9" s="18">
        <f>'B5_Depreciation'!R$12</f>
        <v>2.9311007203896717</v>
      </c>
      <c r="L9" s="18">
        <f>'B5_Depreciation'!S$12</f>
        <v>2.7767192511712087</v>
      </c>
      <c r="M9" s="18">
        <f>'B5_Depreciation'!T$12</f>
        <v>2.595834036504279</v>
      </c>
      <c r="O9" s="22"/>
      <c r="P9" s="22"/>
      <c r="Q9" s="22"/>
      <c r="R9" s="22"/>
      <c r="S9" s="22"/>
      <c r="U9">
        <v>6.6</v>
      </c>
      <c r="V9">
        <v>6.9</v>
      </c>
      <c r="W9">
        <v>7.2</v>
      </c>
    </row>
    <row r="10" spans="2:23" ht="19.5" customHeight="1">
      <c r="B10" t="s">
        <v>155</v>
      </c>
      <c r="C10" s="18">
        <f>Table!I$12</f>
        <v>4.314859534503879</v>
      </c>
      <c r="D10" s="18">
        <f>Table!J$12</f>
        <v>3.4481060927535223</v>
      </c>
      <c r="E10" s="18">
        <f>Table!K$12</f>
        <v>4.122122200101253</v>
      </c>
      <c r="F10" s="18">
        <f>Table!L$12</f>
        <v>3.533196087813501</v>
      </c>
      <c r="G10" s="18">
        <f>Table!M$12</f>
        <v>2.6753682908552867</v>
      </c>
      <c r="H10" s="18">
        <f>Table!S$12</f>
        <v>2.456394533865412</v>
      </c>
      <c r="I10" s="18">
        <f>Table!T$12</f>
        <v>2.317377196639941</v>
      </c>
      <c r="J10" s="18">
        <f>Table!U$12</f>
        <v>2.181349788458221</v>
      </c>
      <c r="K10" s="18">
        <f>Table!V$12</f>
        <v>2.03850616806054</v>
      </c>
      <c r="L10" s="18">
        <f>Table!W$12</f>
        <v>1.9113949499584706</v>
      </c>
      <c r="M10" s="18">
        <f>Table!X$12</f>
        <v>1.7710164824675605</v>
      </c>
      <c r="U10" s="18">
        <v>4</v>
      </c>
      <c r="V10">
        <v>2.7</v>
      </c>
      <c r="W10">
        <v>2.1</v>
      </c>
    </row>
    <row r="11" spans="2:23" ht="12.75">
      <c r="B11" t="s">
        <v>163</v>
      </c>
      <c r="C11">
        <v>55</v>
      </c>
      <c r="D11">
        <v>55</v>
      </c>
      <c r="E11">
        <v>55</v>
      </c>
      <c r="F11">
        <v>55</v>
      </c>
      <c r="G11">
        <v>55</v>
      </c>
      <c r="U11">
        <v>-0.4</v>
      </c>
      <c r="V11">
        <v>-1.9</v>
      </c>
      <c r="W11">
        <v>0.3</v>
      </c>
    </row>
  </sheetData>
  <sheetProtection/>
  <mergeCells count="3">
    <mergeCell ref="C1:G1"/>
    <mergeCell ref="H1:M1"/>
    <mergeCell ref="O1:Q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T53"/>
  <sheetViews>
    <sheetView zoomScalePageLayoutView="0" workbookViewId="0" topLeftCell="B1">
      <pane xSplit="1" ySplit="8" topLeftCell="C20" activePane="bottomRight" state="frozen"/>
      <selection pane="topLeft" activeCell="B1" sqref="B1"/>
      <selection pane="topRight" activeCell="C1" sqref="C1"/>
      <selection pane="bottomLeft" activeCell="B9" sqref="B9"/>
      <selection pane="bottomRight" activeCell="A45" sqref="A45"/>
    </sheetView>
  </sheetViews>
  <sheetFormatPr defaultColWidth="9.33203125" defaultRowHeight="12.75"/>
  <cols>
    <col min="2" max="2" width="83.33203125" style="0" customWidth="1"/>
    <col min="3" max="8" width="0" style="0" hidden="1" customWidth="1"/>
    <col min="14" max="14" width="3" style="0" customWidth="1"/>
  </cols>
  <sheetData>
    <row r="2" spans="2:20" ht="15.75">
      <c r="B2" s="138" t="str">
        <f>"Table --. Country: External Sustainability Framework--Gross External Financing Need, "&amp;I8&amp;"-"&amp;T8</f>
        <v>Table --. Country: External Sustainability Framework--Gross External Financing Need, 2010-2020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2:20" ht="1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5" spans="6:20" ht="8.25" customHeight="1">
      <c r="F5" s="18"/>
      <c r="G5" s="18"/>
      <c r="H5" s="18"/>
      <c r="I5" s="18"/>
      <c r="J5" s="28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20" ht="5.25" customHeight="1">
      <c r="B6" s="2"/>
      <c r="C6" s="2"/>
      <c r="D6" s="2"/>
      <c r="E6" s="2"/>
      <c r="F6" s="29"/>
      <c r="G6" s="29"/>
      <c r="H6" s="29"/>
      <c r="I6" s="29"/>
      <c r="J6" s="29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2:20" ht="12.75">
      <c r="B7" s="17"/>
      <c r="C7" s="17"/>
      <c r="D7" s="17"/>
      <c r="E7" s="17"/>
      <c r="F7" s="130" t="s">
        <v>24</v>
      </c>
      <c r="G7" s="130"/>
      <c r="H7" s="130"/>
      <c r="I7" s="130"/>
      <c r="J7" s="130"/>
      <c r="K7" s="130"/>
      <c r="L7" s="130"/>
      <c r="M7" s="130"/>
      <c r="N7" s="53"/>
      <c r="O7" s="54" t="s">
        <v>21</v>
      </c>
      <c r="P7" s="54"/>
      <c r="Q7" s="54"/>
      <c r="R7" s="54"/>
      <c r="S7" s="54"/>
      <c r="T7" s="54"/>
    </row>
    <row r="8" spans="2:20" ht="12.75">
      <c r="B8" s="4"/>
      <c r="C8" s="64">
        <f>Table!C8</f>
        <v>2004</v>
      </c>
      <c r="D8" s="64">
        <f>Table!D8</f>
        <v>2005</v>
      </c>
      <c r="E8" s="64">
        <f>Table!E8</f>
        <v>2006</v>
      </c>
      <c r="F8" s="64">
        <f>Table!F8</f>
        <v>2007</v>
      </c>
      <c r="G8" s="64">
        <f>Table!G8</f>
        <v>2008</v>
      </c>
      <c r="H8" s="64">
        <f>Table!H8</f>
        <v>2009</v>
      </c>
      <c r="I8" s="64">
        <f>Table!I8</f>
        <v>2010</v>
      </c>
      <c r="J8" s="64">
        <f>Table!J8</f>
        <v>2011</v>
      </c>
      <c r="K8" s="64">
        <f>Table!K8</f>
        <v>2012</v>
      </c>
      <c r="L8" s="64">
        <f>Table!L8</f>
        <v>2013</v>
      </c>
      <c r="M8" s="64">
        <f>Table!M8</f>
        <v>2014</v>
      </c>
      <c r="N8" s="33"/>
      <c r="O8" s="64" t="str">
        <f>Table!S8</f>
        <v>2015</v>
      </c>
      <c r="P8" s="64">
        <f>Table!T8</f>
        <v>2016</v>
      </c>
      <c r="Q8" s="64">
        <f>Table!U8</f>
        <v>2017</v>
      </c>
      <c r="R8" s="64">
        <f>Table!V8</f>
        <v>2018</v>
      </c>
      <c r="S8" s="64">
        <f>Table!W8</f>
        <v>2019</v>
      </c>
      <c r="T8" s="64">
        <f>Table!X8</f>
        <v>2020</v>
      </c>
    </row>
    <row r="10" spans="3:20" ht="12.75">
      <c r="C10" s="131" t="s">
        <v>84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</row>
    <row r="12" spans="2:20" ht="14.25">
      <c r="B12" s="68" t="s">
        <v>86</v>
      </c>
      <c r="C12" s="18"/>
      <c r="D12" s="18">
        <f>Table!D32</f>
        <v>-0.8771599999999999</v>
      </c>
      <c r="E12" s="18">
        <f>Table!E32</f>
        <v>-4.751099999999999</v>
      </c>
      <c r="F12" s="18">
        <f>Table!F32</f>
        <v>-6.174078</v>
      </c>
      <c r="G12" s="18">
        <f>Table!G32</f>
        <v>-15.4545</v>
      </c>
      <c r="H12" s="18">
        <f>Table!H32</f>
        <v>-14.290199999999999</v>
      </c>
      <c r="I12" s="18">
        <f>Table!I32</f>
        <v>-29.25</v>
      </c>
      <c r="J12" s="18">
        <f>Table!J32</f>
        <v>-32.552195</v>
      </c>
      <c r="K12" s="18">
        <f>Table!K32</f>
        <v>0.9994119999999901</v>
      </c>
      <c r="L12" s="18">
        <f>Table!L32</f>
        <v>-9.66064582097</v>
      </c>
      <c r="M12" s="18">
        <f>Table!M32</f>
        <v>-17.14824545487104</v>
      </c>
      <c r="N12" s="18"/>
      <c r="O12" s="18">
        <f>Table!S32</f>
        <v>-10.224014277454009</v>
      </c>
      <c r="P12" s="18">
        <f>Table!T32</f>
        <v>-7.018660120111759</v>
      </c>
      <c r="Q12" s="18">
        <f>Table!U32</f>
        <v>-8.455986824076222</v>
      </c>
      <c r="R12" s="18">
        <f>Table!V32</f>
        <v>-8.629301625759453</v>
      </c>
      <c r="S12" s="18">
        <f>Table!W32</f>
        <v>-9.405852494443643</v>
      </c>
      <c r="T12" s="18">
        <f>Table!X32</f>
        <v>-11.849145554929702</v>
      </c>
    </row>
    <row r="13" spans="2:20" ht="14.25">
      <c r="B13" s="69" t="s">
        <v>38</v>
      </c>
      <c r="C13" s="18"/>
      <c r="D13" s="18">
        <f>Table!D33</f>
        <v>-1.5453651588396569</v>
      </c>
      <c r="E13" s="18">
        <f>Table!E33</f>
        <v>-7.00095928450393</v>
      </c>
      <c r="F13" s="18">
        <f>Table!F33</f>
        <v>-7.2343915466465045</v>
      </c>
      <c r="G13" s="18">
        <f>Table!G33</f>
        <v>-14.97235056239753</v>
      </c>
      <c r="H13" s="18">
        <f>Table!H33</f>
        <v>-12.183821344623622</v>
      </c>
      <c r="I13" s="18">
        <f>Table!I33</f>
        <v>-21.77905804732329</v>
      </c>
      <c r="J13" s="18">
        <f>Table!J33</f>
        <v>-18.956835317007386</v>
      </c>
      <c r="K13" s="18">
        <f>Table!K33</f>
        <v>0.7244024371680038</v>
      </c>
      <c r="L13" s="18">
        <f>Table!L33</f>
        <v>-6.00863563507751</v>
      </c>
      <c r="M13" s="18">
        <f>Table!M33</f>
        <v>-9.017597987456698</v>
      </c>
      <c r="N13" s="18"/>
      <c r="O13" s="18">
        <f>Table!S33</f>
        <v>-5.140078121884597</v>
      </c>
      <c r="P13" s="18">
        <f>Table!T33</f>
        <v>-3.34271847832079</v>
      </c>
      <c r="Q13" s="18">
        <f>Table!U33</f>
        <v>-3.7737945789312444</v>
      </c>
      <c r="R13" s="18">
        <f>Table!V33</f>
        <v>-3.6473590652302845</v>
      </c>
      <c r="S13" s="18">
        <f>Table!W33</f>
        <v>-3.741616056433264</v>
      </c>
      <c r="T13" s="18">
        <f>Table!X33</f>
        <v>-4.42076531746339</v>
      </c>
    </row>
    <row r="14" ht="15">
      <c r="B14" s="70"/>
    </row>
    <row r="15" spans="2:20" ht="15">
      <c r="B15" s="70"/>
      <c r="C15" s="131" t="s">
        <v>85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</row>
    <row r="16" ht="14.25">
      <c r="B16" s="68" t="s">
        <v>88</v>
      </c>
    </row>
    <row r="18" ht="12.75">
      <c r="B18" s="1" t="s">
        <v>122</v>
      </c>
    </row>
    <row r="20" spans="2:20" ht="12.75">
      <c r="B20" s="45" t="str">
        <f>"A1. Key variables are at their historical averages in "&amp;O8&amp;"-"&amp;T8&amp;" 3/"</f>
        <v>A1. Key variables are at their historical averages in 2015-2020 3/</v>
      </c>
      <c r="O20" s="18">
        <f>'A1_historical'!O32</f>
        <v>-9.961855854721192</v>
      </c>
      <c r="P20" s="18">
        <f>'A1_historical'!P32</f>
        <v>-36.87331617367807</v>
      </c>
      <c r="Q20" s="18">
        <f>'A1_historical'!Q32</f>
        <v>-46.74857570300274</v>
      </c>
      <c r="R20" s="18">
        <f>'A1_historical'!R32</f>
        <v>-60.91975647617346</v>
      </c>
      <c r="S20" s="18">
        <f>'A1_historical'!S32</f>
        <v>-74.66789718529941</v>
      </c>
      <c r="T20" s="18">
        <f>'A1_historical'!T32</f>
        <v>-93.07621695798565</v>
      </c>
    </row>
    <row r="21" spans="2:20" ht="12.75" hidden="1">
      <c r="B21" s="45" t="s">
        <v>143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</row>
    <row r="22" spans="2:20" ht="12.75" hidden="1">
      <c r="B22" s="45" t="s">
        <v>139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</row>
    <row r="23" spans="2:20" ht="12.75">
      <c r="B23" s="45"/>
      <c r="O23" s="18"/>
      <c r="P23" s="18"/>
      <c r="Q23" s="18"/>
      <c r="R23" s="18"/>
      <c r="S23" s="18"/>
      <c r="T23" s="18"/>
    </row>
    <row r="24" spans="2:20" ht="12.75">
      <c r="B24" s="66" t="s">
        <v>126</v>
      </c>
      <c r="O24" s="18"/>
      <c r="P24" s="18"/>
      <c r="Q24" s="18"/>
      <c r="R24" s="18"/>
      <c r="S24" s="18"/>
      <c r="T24" s="18"/>
    </row>
    <row r="25" spans="2:20" ht="12.75">
      <c r="B25" s="66"/>
      <c r="O25" s="18"/>
      <c r="P25" s="18"/>
      <c r="Q25" s="18"/>
      <c r="R25" s="18"/>
      <c r="S25" s="18"/>
      <c r="T25" s="18"/>
    </row>
    <row r="26" spans="2:20" ht="12.75">
      <c r="B26" t="s">
        <v>174</v>
      </c>
      <c r="O26" s="18">
        <f>'B1_irate'!O32</f>
        <v>-9.961855854721192</v>
      </c>
      <c r="P26" s="18">
        <f>'B1_irate'!P32</f>
        <v>-6.569575252326838</v>
      </c>
      <c r="Q26" s="18">
        <f>'B1_irate'!Q32</f>
        <v>-7.783101512232709</v>
      </c>
      <c r="R26" s="18">
        <f>'B1_irate'!R32</f>
        <v>-7.764993911580639</v>
      </c>
      <c r="S26" s="18">
        <f>'B1_irate'!S32</f>
        <v>-8.31548145502676</v>
      </c>
      <c r="T26" s="18">
        <f>'B1_irate'!T32</f>
        <v>-10.31885699025916</v>
      </c>
    </row>
    <row r="27" spans="2:20" ht="12.75">
      <c r="B27" t="s">
        <v>171</v>
      </c>
      <c r="O27" s="18">
        <f>'B2_GDP'!O32</f>
        <v>-9.961855854721192</v>
      </c>
      <c r="P27" s="18">
        <f>'B2_GDP'!P32</f>
        <v>-6.560315485419096</v>
      </c>
      <c r="Q27" s="18">
        <f>'B2_GDP'!Q32</f>
        <v>-7.625390055976645</v>
      </c>
      <c r="R27" s="18">
        <f>'B2_GDP'!R32</f>
        <v>-7.3842005489003695</v>
      </c>
      <c r="S27" s="18">
        <f>'B2_GDP'!S32</f>
        <v>-7.7003982326008735</v>
      </c>
      <c r="T27" s="18">
        <f>'B2_GDP'!T32</f>
        <v>-9.271875246672963</v>
      </c>
    </row>
    <row r="28" spans="2:20" ht="12.75">
      <c r="B28" t="s">
        <v>172</v>
      </c>
      <c r="O28" s="18">
        <f>'B3_CAB'!O32</f>
        <v>-9.961855854721192</v>
      </c>
      <c r="P28" s="18">
        <f>'B3_CAB'!P32</f>
        <v>2.486794867826702</v>
      </c>
      <c r="Q28" s="18">
        <f>'B3_CAB'!Q32</f>
        <v>2.7114022595179534</v>
      </c>
      <c r="R28" s="18">
        <f>'B3_CAB'!R32</f>
        <v>4.929323307695553</v>
      </c>
      <c r="S28" s="18">
        <f>'B3_CAB'!S32</f>
        <v>5.96500565984622</v>
      </c>
      <c r="T28" s="18">
        <f>'B3_CAB'!T32</f>
        <v>6.262792572954067</v>
      </c>
    </row>
    <row r="29" spans="2:20" ht="12.75">
      <c r="B29" t="s">
        <v>178</v>
      </c>
      <c r="O29" s="18">
        <f>'B4_Combined'!O32</f>
        <v>-9.961855854721192</v>
      </c>
      <c r="P29" s="18">
        <f>'B4_Combined'!P32</f>
        <v>-1.9764551071828982</v>
      </c>
      <c r="Q29" s="18">
        <f>'B4_Combined'!Q32</f>
        <v>-2.330394631244152</v>
      </c>
      <c r="R29" s="18">
        <f>'B4_Combined'!R32</f>
        <v>-0.9853092277744193</v>
      </c>
      <c r="S29" s="18">
        <f>'B4_Combined'!S32</f>
        <v>-0.5134722936157008</v>
      </c>
      <c r="T29" s="18">
        <f>'B4_Combined'!T32</f>
        <v>-0.969866034384606</v>
      </c>
    </row>
    <row r="30" spans="2:20" ht="12.75">
      <c r="B30" t="str">
        <f>"B5. One time 30 percent real depreciation in "&amp;P8</f>
        <v>B5. One time 30 percent real depreciation in 2016</v>
      </c>
      <c r="O30" s="18">
        <f>'B5_Depreciation'!O32</f>
        <v>-9.961855854721192</v>
      </c>
      <c r="P30" s="18">
        <f>'B5_Depreciation'!P32</f>
        <v>-7.065171374723597</v>
      </c>
      <c r="Q30" s="18">
        <f>'B5_Depreciation'!Q32</f>
        <v>-8.506145839215215</v>
      </c>
      <c r="R30" s="18">
        <f>'B5_Depreciation'!R32</f>
        <v>-8.692142674249299</v>
      </c>
      <c r="S30" s="18">
        <f>'B5_Depreciation'!S32</f>
        <v>-9.468564707877869</v>
      </c>
      <c r="T30" s="18">
        <f>'B5_Depreciation'!T32</f>
        <v>-11.918825413125274</v>
      </c>
    </row>
    <row r="32" ht="14.25">
      <c r="B32" s="68" t="s">
        <v>89</v>
      </c>
    </row>
    <row r="34" ht="12.75">
      <c r="B34" s="1" t="s">
        <v>122</v>
      </c>
    </row>
    <row r="36" spans="2:20" ht="12.75">
      <c r="B36" s="45" t="str">
        <f>"A1. Key variables are at their historical averages in "&amp;O8&amp;"-"&amp;T8&amp;" 3/"</f>
        <v>A1. Key variables are at their historical averages in 2015-2020 3/</v>
      </c>
      <c r="O36" s="18">
        <f>'A1_historical'!O33</f>
        <v>-5.128478529678023</v>
      </c>
      <c r="P36" s="18">
        <f>'A1_historical'!P33</f>
        <v>-16.639307786528658</v>
      </c>
      <c r="Q36" s="18">
        <f>'A1_historical'!Q33</f>
        <v>-18.491247481674417</v>
      </c>
      <c r="R36" s="18">
        <f>'A1_historical'!R33</f>
        <v>-21.121791709539252</v>
      </c>
      <c r="S36" s="18">
        <f>'A1_historical'!S33</f>
        <v>-22.69244477926773</v>
      </c>
      <c r="T36" s="18">
        <f>'A1_historical'!T33</f>
        <v>-24.794814259024484</v>
      </c>
    </row>
    <row r="37" spans="2:20" ht="12.75" hidden="1">
      <c r="B37" s="45" t="s">
        <v>143</v>
      </c>
      <c r="O37" s="18" t="e">
        <f>#REF!</f>
        <v>#REF!</v>
      </c>
      <c r="P37" s="18" t="e">
        <f>#REF!</f>
        <v>#REF!</v>
      </c>
      <c r="Q37" s="18" t="e">
        <f>#REF!</f>
        <v>#REF!</v>
      </c>
      <c r="R37" s="18" t="e">
        <f>#REF!</f>
        <v>#REF!</v>
      </c>
      <c r="S37" s="18" t="e">
        <f>#REF!</f>
        <v>#REF!</v>
      </c>
      <c r="T37" s="18" t="e">
        <f>#REF!</f>
        <v>#REF!</v>
      </c>
    </row>
    <row r="38" spans="2:20" ht="12.75" hidden="1">
      <c r="B38" s="45" t="s">
        <v>139</v>
      </c>
      <c r="O38" s="18" t="e">
        <f>#REF!</f>
        <v>#REF!</v>
      </c>
      <c r="P38" s="18" t="e">
        <f>#REF!</f>
        <v>#REF!</v>
      </c>
      <c r="Q38" s="18" t="e">
        <f>#REF!</f>
        <v>#REF!</v>
      </c>
      <c r="R38" s="18" t="e">
        <f>#REF!</f>
        <v>#REF!</v>
      </c>
      <c r="S38" s="18" t="e">
        <f>#REF!</f>
        <v>#REF!</v>
      </c>
      <c r="T38" s="18" t="e">
        <f>#REF!</f>
        <v>#REF!</v>
      </c>
    </row>
    <row r="39" spans="2:20" ht="12.75">
      <c r="B39" s="45"/>
      <c r="O39" s="18"/>
      <c r="P39" s="18"/>
      <c r="Q39" s="18"/>
      <c r="R39" s="18"/>
      <c r="S39" s="18"/>
      <c r="T39" s="18"/>
    </row>
    <row r="40" spans="2:20" ht="12.75">
      <c r="B40" s="66" t="s">
        <v>126</v>
      </c>
      <c r="O40" s="18"/>
      <c r="P40" s="18"/>
      <c r="Q40" s="18"/>
      <c r="R40" s="18"/>
      <c r="S40" s="18"/>
      <c r="T40" s="18"/>
    </row>
    <row r="41" spans="2:20" ht="12.75">
      <c r="B41" s="66"/>
      <c r="O41" s="18"/>
      <c r="P41" s="18"/>
      <c r="Q41" s="18"/>
      <c r="R41" s="18"/>
      <c r="S41" s="18"/>
      <c r="T41" s="18"/>
    </row>
    <row r="42" spans="2:20" ht="12.75">
      <c r="B42" t="s">
        <v>174</v>
      </c>
      <c r="O42" s="18">
        <f>'B1_irate'!O33</f>
        <v>-5.128478529678023</v>
      </c>
      <c r="P42" s="18">
        <f>'B1_irate'!P33</f>
        <v>-3.272281595954814</v>
      </c>
      <c r="Q42" s="18">
        <f>'B1_irate'!Q33</f>
        <v>-3.697628794201577</v>
      </c>
      <c r="R42" s="18">
        <f>'B1_irate'!R33</f>
        <v>-3.5548281164205644</v>
      </c>
      <c r="S42" s="18">
        <f>'B1_irate'!S33</f>
        <v>-3.64420168408056</v>
      </c>
      <c r="T42" s="18">
        <f>'B1_irate'!T33</f>
        <v>-4.3133720592350775</v>
      </c>
    </row>
    <row r="43" spans="2:20" ht="12.75">
      <c r="B43" t="s">
        <v>171</v>
      </c>
      <c r="O43" s="18">
        <f>'B2_GDP'!O33</f>
        <v>-5.128478529678023</v>
      </c>
      <c r="P43" s="18">
        <f>'B2_GDP'!P33</f>
        <v>-3.293508931470689</v>
      </c>
      <c r="Q43" s="18">
        <f>'B2_GDP'!Q33</f>
        <v>-3.6802393665528093</v>
      </c>
      <c r="R43" s="18">
        <f>'B2_GDP'!R33</f>
        <v>-3.461349849074509</v>
      </c>
      <c r="S43" s="18">
        <f>'B2_GDP'!S33</f>
        <v>-3.482495772255105</v>
      </c>
      <c r="T43" s="18">
        <f>'B2_GDP'!T33</f>
        <v>-4.030982588771287</v>
      </c>
    </row>
    <row r="44" spans="2:20" ht="12.75">
      <c r="B44" t="s">
        <v>172</v>
      </c>
      <c r="O44" s="18">
        <f>'B3_CAB'!O33</f>
        <v>-5.128478529678023</v>
      </c>
      <c r="P44" s="18">
        <f>'B3_CAB'!P33</f>
        <v>1.2386635005089606</v>
      </c>
      <c r="Q44" s="18">
        <f>'B3_CAB'!Q33</f>
        <v>1.2881444565125233</v>
      </c>
      <c r="R44" s="18">
        <f>'B3_CAB'!R33</f>
        <v>2.256653036519434</v>
      </c>
      <c r="S44" s="18">
        <f>'B3_CAB'!S33</f>
        <v>2.6141220792478714</v>
      </c>
      <c r="T44" s="18">
        <f>'B3_CAB'!T33</f>
        <v>2.6179018201788815</v>
      </c>
    </row>
    <row r="45" spans="2:20" ht="12.75">
      <c r="B45" t="s">
        <v>173</v>
      </c>
      <c r="O45" s="18">
        <f>'B4_Combined'!O33</f>
        <v>-5.128478529678023</v>
      </c>
      <c r="P45" s="18">
        <f>'B4_Combined'!P33</f>
        <v>-0.9883421919366617</v>
      </c>
      <c r="Q45" s="18">
        <f>'B4_Combined'!Q33</f>
        <v>-1.1158736965612295</v>
      </c>
      <c r="R45" s="18">
        <f>'B4_Combined'!R33</f>
        <v>-0.45642790891311447</v>
      </c>
      <c r="S45" s="18">
        <f>'B4_Combined'!S33</f>
        <v>-0.22858608617064083</v>
      </c>
      <c r="T45" s="18">
        <f>'B4_Combined'!T33</f>
        <v>-0.4134369946980956</v>
      </c>
    </row>
    <row r="46" spans="2:20" ht="12.75">
      <c r="B46" t="str">
        <f>"B5. One time 30 percent real depreciation in "&amp;P8</f>
        <v>B5. One time 30 percent real depreciation in 2016</v>
      </c>
      <c r="O46" s="18">
        <f>'B5_Depreciation'!O33</f>
        <v>-5.128478529678023</v>
      </c>
      <c r="P46" s="18">
        <f>'B5_Depreciation'!P33</f>
        <v>-5.061525482313675</v>
      </c>
      <c r="Q46" s="18">
        <f>'B5_Depreciation'!Q33</f>
        <v>-5.812310257728965</v>
      </c>
      <c r="R46" s="18">
        <f>'B5_Depreciation'!R33</f>
        <v>-5.723341789880193</v>
      </c>
      <c r="S46" s="18">
        <f>'B5_Depreciation'!S33</f>
        <v>-5.968215627496738</v>
      </c>
      <c r="T46" s="18">
        <f>'B5_Depreciation'!T33</f>
        <v>-7.165790952653217</v>
      </c>
    </row>
    <row r="47" spans="2:20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9" ht="12.75">
      <c r="B49" t="s">
        <v>90</v>
      </c>
    </row>
    <row r="50" ht="12.75">
      <c r="B50" t="s">
        <v>99</v>
      </c>
    </row>
    <row r="51" ht="12.75">
      <c r="B51" t="s">
        <v>87</v>
      </c>
    </row>
    <row r="52" ht="12.75">
      <c r="B52" s="10" t="s">
        <v>144</v>
      </c>
    </row>
    <row r="53" ht="12.75">
      <c r="B53" s="10" t="s">
        <v>145</v>
      </c>
    </row>
  </sheetData>
  <sheetProtection/>
  <mergeCells count="5">
    <mergeCell ref="C15:T15"/>
    <mergeCell ref="B2:T2"/>
    <mergeCell ref="B3:T3"/>
    <mergeCell ref="F7:M7"/>
    <mergeCell ref="C10:T10"/>
  </mergeCells>
  <printOptions/>
  <pageMargins left="0.75" right="0.75" top="1" bottom="1" header="0.5" footer="0.5"/>
  <pageSetup fitToHeight="1" fitToWidth="1" horizontalDpi="300" verticalDpi="3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3:U71"/>
  <sheetViews>
    <sheetView zoomScalePageLayoutView="0" workbookViewId="0" topLeftCell="A1">
      <pane xSplit="2" ySplit="8" topLeftCell="C31" activePane="bottomRight" state="frozen"/>
      <selection pane="topLeft" activeCell="N1" sqref="N1:N16384"/>
      <selection pane="topRight" activeCell="N1" sqref="N1:N16384"/>
      <selection pane="bottomLeft" activeCell="N1" sqref="N1:N16384"/>
      <selection pane="bottomRight" activeCell="P40" sqref="P40"/>
    </sheetView>
  </sheetViews>
  <sheetFormatPr defaultColWidth="9.33203125" defaultRowHeight="12.75"/>
  <cols>
    <col min="1" max="1" width="4.5" style="0" customWidth="1"/>
    <col min="2" max="2" width="62.83203125" style="0" customWidth="1"/>
    <col min="3" max="3" width="8.83203125" style="0" customWidth="1"/>
    <col min="4" max="5" width="7" style="0" customWidth="1"/>
    <col min="6" max="6" width="7" style="18" customWidth="1"/>
    <col min="7" max="7" width="8.33203125" style="18" customWidth="1"/>
    <col min="8" max="8" width="7" style="18" customWidth="1"/>
    <col min="9" max="10" width="8.83203125" style="18" customWidth="1"/>
    <col min="11" max="13" width="8.83203125" style="42" customWidth="1"/>
    <col min="14" max="14" width="1.66796875" style="42" customWidth="1"/>
    <col min="15" max="20" width="8.83203125" style="42" customWidth="1"/>
  </cols>
  <sheetData>
    <row r="3" spans="2:20" ht="14.25">
      <c r="B3" s="139" t="s">
        <v>72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2:20" ht="15">
      <c r="B4" s="132" t="s">
        <v>27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0:20" ht="8.25" customHeight="1">
      <c r="J5" s="28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20" ht="5.25" customHeight="1">
      <c r="B6" s="2"/>
      <c r="C6" s="2"/>
      <c r="D6" s="2"/>
      <c r="E6" s="2"/>
      <c r="F6" s="29"/>
      <c r="G6" s="29"/>
      <c r="H6" s="29"/>
      <c r="I6" s="29"/>
      <c r="J6" s="29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2:20" ht="12.75">
      <c r="B7" s="17"/>
      <c r="C7" s="17"/>
      <c r="D7" s="17"/>
      <c r="E7" s="17"/>
      <c r="F7" s="130" t="s">
        <v>24</v>
      </c>
      <c r="G7" s="130"/>
      <c r="H7" s="130"/>
      <c r="I7" s="130"/>
      <c r="J7" s="130"/>
      <c r="K7" s="130"/>
      <c r="L7" s="130"/>
      <c r="M7" s="130"/>
      <c r="N7" s="53"/>
      <c r="O7" s="54" t="s">
        <v>21</v>
      </c>
      <c r="P7" s="54"/>
      <c r="Q7" s="54"/>
      <c r="R7" s="54"/>
      <c r="S7" s="54"/>
      <c r="T7" s="54"/>
    </row>
    <row r="8" spans="2:20" ht="12.75">
      <c r="B8" s="4"/>
      <c r="C8" s="64">
        <f>Table!C8</f>
        <v>2004</v>
      </c>
      <c r="D8" s="64">
        <f>Table!D8</f>
        <v>2005</v>
      </c>
      <c r="E8" s="64">
        <f>Table!E8</f>
        <v>2006</v>
      </c>
      <c r="F8" s="64">
        <f>Table!F8</f>
        <v>2007</v>
      </c>
      <c r="G8" s="64">
        <f>Table!G8</f>
        <v>2008</v>
      </c>
      <c r="H8" s="64">
        <f>Table!H8</f>
        <v>2009</v>
      </c>
      <c r="I8" s="64">
        <f>Table!I8</f>
        <v>2010</v>
      </c>
      <c r="J8" s="64">
        <f>Table!J8</f>
        <v>2011</v>
      </c>
      <c r="K8" s="64">
        <f>Table!K8</f>
        <v>2012</v>
      </c>
      <c r="L8" s="64">
        <f>Table!L8</f>
        <v>2013</v>
      </c>
      <c r="M8" s="64">
        <f>Table!M8</f>
        <v>2014</v>
      </c>
      <c r="N8" s="33"/>
      <c r="O8" s="64" t="str">
        <f>Table!S8</f>
        <v>2015</v>
      </c>
      <c r="P8" s="64">
        <f>Table!T8</f>
        <v>2016</v>
      </c>
      <c r="Q8" s="64">
        <f>Table!U8</f>
        <v>2017</v>
      </c>
      <c r="R8" s="64">
        <f>Table!V8</f>
        <v>2018</v>
      </c>
      <c r="S8" s="64">
        <f>Table!W8</f>
        <v>2019</v>
      </c>
      <c r="T8" s="64">
        <f>Table!X8</f>
        <v>2020</v>
      </c>
    </row>
    <row r="9" spans="2:21" ht="12.75">
      <c r="B9" s="5"/>
      <c r="C9" s="5"/>
      <c r="D9" s="23"/>
      <c r="E9" s="23"/>
      <c r="F9" s="21"/>
      <c r="G9" s="21"/>
      <c r="H9" s="21"/>
      <c r="I9" s="21"/>
      <c r="J9" s="21"/>
      <c r="K9" s="43"/>
      <c r="L9" s="43"/>
      <c r="M9" s="43"/>
      <c r="N9" s="43"/>
      <c r="O9" s="43"/>
      <c r="P9" s="43"/>
      <c r="Q9" s="43"/>
      <c r="R9" s="43"/>
      <c r="S9" s="43"/>
      <c r="T9" s="43"/>
      <c r="U9" s="61" t="s">
        <v>113</v>
      </c>
    </row>
    <row r="10" spans="3:21" ht="12.75">
      <c r="C10" s="131" t="s">
        <v>73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61" t="s">
        <v>114</v>
      </c>
    </row>
    <row r="11" spans="2:21" ht="12.75">
      <c r="B11" s="5"/>
      <c r="C11" s="5"/>
      <c r="D11" s="21"/>
      <c r="E11" s="21"/>
      <c r="F11" s="21"/>
      <c r="G11" s="21"/>
      <c r="H11" s="21"/>
      <c r="I11" s="21"/>
      <c r="J11" s="21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61" t="s">
        <v>146</v>
      </c>
    </row>
    <row r="12" spans="1:20" ht="12.75">
      <c r="A12">
        <f>A30+1</f>
        <v>1</v>
      </c>
      <c r="B12" t="s">
        <v>1</v>
      </c>
      <c r="C12" s="18">
        <f>Input_external!G4/Table!C37*100</f>
        <v>41.467145679070754</v>
      </c>
      <c r="D12" s="18">
        <f>Input_external!H4/Table!D37*100</f>
        <v>39.890279910674806</v>
      </c>
      <c r="E12" s="18">
        <f>Input_external!I4/Table!E37*100</f>
        <v>34.41184194543343</v>
      </c>
      <c r="F12" s="18">
        <f>Input_external!J4/Table!F37*100</f>
        <v>25.56845863291222</v>
      </c>
      <c r="G12" s="18">
        <f>Input_external!K4/Table!G37*100</f>
        <v>16.655644043400844</v>
      </c>
      <c r="H12" s="18">
        <f>Input_external!L4/Table!H37*100</f>
        <v>4.78478995297671</v>
      </c>
      <c r="I12" s="18">
        <f>Input_external!M4/Table!I37*100</f>
        <v>4.314859534503879</v>
      </c>
      <c r="J12" s="18">
        <f>Input_external!N4/Table!J37*100</f>
        <v>3.4481060927535223</v>
      </c>
      <c r="K12" s="18">
        <f>Input_external!O4/Table!K37*100</f>
        <v>4.122122200101253</v>
      </c>
      <c r="L12" s="18">
        <f>Input_external!P4/Table!L37*100</f>
        <v>3.533196087813501</v>
      </c>
      <c r="M12" s="18">
        <f>Input_external!Q4/Table!M37*100</f>
        <v>2.6753682908552867</v>
      </c>
      <c r="N12" s="18"/>
      <c r="O12" s="28">
        <f>M12+O14</f>
        <v>2.514588096821696</v>
      </c>
      <c r="P12" s="28">
        <f>O12+P14</f>
        <v>-9.842422447948683</v>
      </c>
      <c r="Q12" s="28">
        <f>P12+Q14</f>
        <v>-21.293993138283547</v>
      </c>
      <c r="R12" s="28">
        <f>Q12+R14</f>
        <v>-32.388396314084126</v>
      </c>
      <c r="S12" s="28">
        <f>R12+S14</f>
        <v>-42.92141634315797</v>
      </c>
      <c r="T12" s="28">
        <f>S12+T14</f>
        <v>-52.45483189850952</v>
      </c>
    </row>
    <row r="13" spans="3:20" ht="12.75">
      <c r="C13" s="18"/>
      <c r="D13" s="18"/>
      <c r="E13" s="18"/>
      <c r="K13" s="18"/>
      <c r="L13" s="18"/>
      <c r="M13" s="18"/>
      <c r="N13" s="18"/>
      <c r="O13" s="28"/>
      <c r="P13" s="28"/>
      <c r="Q13" s="28"/>
      <c r="R13" s="28"/>
      <c r="S13" s="28"/>
      <c r="T13" s="28"/>
    </row>
    <row r="14" spans="1:21" ht="12.75">
      <c r="A14">
        <f>A12+1</f>
        <v>2</v>
      </c>
      <c r="B14" t="s">
        <v>29</v>
      </c>
      <c r="C14" s="18"/>
      <c r="D14" s="18">
        <f>(D12-C12)</f>
        <v>-1.5768657683959475</v>
      </c>
      <c r="E14" s="18">
        <f>(E12-D12)</f>
        <v>-5.478437965241376</v>
      </c>
      <c r="F14" s="18">
        <f aca="true" t="shared" si="0" ref="F14:M14">(F12-E12)</f>
        <v>-8.843383312521212</v>
      </c>
      <c r="G14" s="18">
        <f t="shared" si="0"/>
        <v>-8.912814589511374</v>
      </c>
      <c r="H14" s="18">
        <f t="shared" si="0"/>
        <v>-11.870854090424135</v>
      </c>
      <c r="I14" s="18">
        <f t="shared" si="0"/>
        <v>-0.46993041847283124</v>
      </c>
      <c r="J14" s="18">
        <f t="shared" si="0"/>
        <v>-0.8667534417503564</v>
      </c>
      <c r="K14" s="18">
        <f t="shared" si="0"/>
        <v>0.6740161073477307</v>
      </c>
      <c r="L14" s="18">
        <f t="shared" si="0"/>
        <v>-0.5889261122877518</v>
      </c>
      <c r="M14" s="18">
        <f t="shared" si="0"/>
        <v>-0.8578277969582144</v>
      </c>
      <c r="N14" s="18"/>
      <c r="O14" s="18">
        <f aca="true" t="shared" si="1" ref="O14:T14">O15+O28</f>
        <v>-0.1607801940335909</v>
      </c>
      <c r="P14" s="18">
        <f t="shared" si="1"/>
        <v>-12.357010544770379</v>
      </c>
      <c r="Q14" s="18">
        <f t="shared" si="1"/>
        <v>-11.451570690334862</v>
      </c>
      <c r="R14" s="18">
        <f t="shared" si="1"/>
        <v>-11.094403175800581</v>
      </c>
      <c r="S14" s="18">
        <f t="shared" si="1"/>
        <v>-10.53302002907385</v>
      </c>
      <c r="T14" s="18">
        <f t="shared" si="1"/>
        <v>-9.533415555351546</v>
      </c>
      <c r="U14" s="62">
        <f>U15+U28</f>
        <v>0</v>
      </c>
    </row>
    <row r="15" spans="1:21" ht="12.75">
      <c r="A15">
        <f aca="true" t="shared" si="2" ref="A15:A26">A14+1</f>
        <v>3</v>
      </c>
      <c r="B15" t="s">
        <v>39</v>
      </c>
      <c r="C15" s="18"/>
      <c r="D15" s="18">
        <f>D16+D20+D23</f>
        <v>-10.861741555607416</v>
      </c>
      <c r="E15" s="18">
        <f>E16+E20+E23</f>
        <v>-20.418857295820366</v>
      </c>
      <c r="F15" s="18">
        <f>F16+F20+F23</f>
        <v>-20.799872301568897</v>
      </c>
      <c r="G15" s="18">
        <f aca="true" t="shared" si="3" ref="G15:U15">G16+G20+G23</f>
        <v>-25.977293078370288</v>
      </c>
      <c r="H15" s="18">
        <f t="shared" si="3"/>
        <v>-28.181087839612378</v>
      </c>
      <c r="I15" s="18">
        <f t="shared" si="3"/>
        <v>-24.41051344054414</v>
      </c>
      <c r="J15" s="18">
        <f t="shared" si="3"/>
        <v>-22.453490315061558</v>
      </c>
      <c r="K15" s="18">
        <f t="shared" si="3"/>
        <v>-1.2950664132288616</v>
      </c>
      <c r="L15" s="18">
        <f t="shared" si="3"/>
        <v>-9.31160417432428</v>
      </c>
      <c r="M15" s="18">
        <f t="shared" si="3"/>
        <v>-11.759602360374313</v>
      </c>
      <c r="N15" s="18"/>
      <c r="O15" s="18">
        <f t="shared" si="3"/>
        <v>-6.469334746717485</v>
      </c>
      <c r="P15" s="18">
        <f t="shared" si="3"/>
        <v>-16.75168120045289</v>
      </c>
      <c r="Q15" s="18">
        <f t="shared" si="3"/>
        <v>-15.86076375032957</v>
      </c>
      <c r="R15" s="18">
        <f t="shared" si="3"/>
        <v>-15.034793723892568</v>
      </c>
      <c r="S15" s="18">
        <f t="shared" si="3"/>
        <v>-14.231630755104653</v>
      </c>
      <c r="T15" s="18">
        <f t="shared" si="3"/>
        <v>-13.465220364887598</v>
      </c>
      <c r="U15" s="18">
        <f t="shared" si="3"/>
        <v>0</v>
      </c>
    </row>
    <row r="16" spans="1:21" s="25" customFormat="1" ht="12.75">
      <c r="A16">
        <f t="shared" si="2"/>
        <v>4</v>
      </c>
      <c r="B16" s="27" t="s">
        <v>40</v>
      </c>
      <c r="C16" s="18"/>
      <c r="D16" s="18">
        <f>Input_external!H26/Table!D37*100</f>
        <v>-11.85531648987353</v>
      </c>
      <c r="E16" s="18">
        <f>Input_external!I26/Table!E37*100</f>
        <v>-16.043957123545873</v>
      </c>
      <c r="F16" s="18">
        <f>Input_external!J26/Table!F37*100</f>
        <v>-15.356985015745572</v>
      </c>
      <c r="G16" s="18">
        <f>Input_external!K26/Table!G37*100</f>
        <v>-22.10128010482221</v>
      </c>
      <c r="H16" s="18">
        <f>Input_external!L26/Table!H37*100</f>
        <v>-26.5243790871535</v>
      </c>
      <c r="I16" s="18">
        <f>Input_external!M26/Table!I37*100</f>
        <v>-22.955499473469303</v>
      </c>
      <c r="J16" s="18">
        <f>Input_external!N26/Table!J37*100</f>
        <v>-20.173950961975272</v>
      </c>
      <c r="K16" s="18">
        <f>Input_external!O26/Table!K37*100</f>
        <v>-0.4208268083538204</v>
      </c>
      <c r="L16" s="18">
        <f>Input_external!P26/Table!L37*100</f>
        <v>-7.613319237580539</v>
      </c>
      <c r="M16" s="18">
        <f>Input_external!Q26/Table!M37*100</f>
        <v>-10.397963540003312</v>
      </c>
      <c r="N16" s="18"/>
      <c r="O16" s="18">
        <f>Input_external!R26/Table!S37*100</f>
        <v>-5.628884513488823</v>
      </c>
      <c r="P16" s="50">
        <f>J51</f>
        <v>-15.344347784252289</v>
      </c>
      <c r="Q16" s="50">
        <f>P16</f>
        <v>-15.344347784252289</v>
      </c>
      <c r="R16" s="50">
        <f>Q16</f>
        <v>-15.344347784252289</v>
      </c>
      <c r="S16" s="50">
        <f>R16</f>
        <v>-15.344347784252289</v>
      </c>
      <c r="T16" s="50">
        <f>S16</f>
        <v>-15.344347784252289</v>
      </c>
      <c r="U16" s="28">
        <f>-(U20+U23)</f>
        <v>-2.568605069811402</v>
      </c>
    </row>
    <row r="17" spans="1:21" ht="12.75">
      <c r="A17">
        <f t="shared" si="2"/>
        <v>5</v>
      </c>
      <c r="B17" s="9" t="s">
        <v>66</v>
      </c>
      <c r="C17" s="42"/>
      <c r="D17" s="42">
        <f>D19-D18</f>
        <v>-9.723559635712395</v>
      </c>
      <c r="E17" s="42">
        <f>E19-E18</f>
        <v>-14.378851360356414</v>
      </c>
      <c r="F17" s="42">
        <f>F19-F18</f>
        <v>-14.361009128390478</v>
      </c>
      <c r="G17" s="42">
        <f aca="true" t="shared" si="4" ref="G17:O17">G19-G18</f>
        <v>-23.44791488962486</v>
      </c>
      <c r="H17" s="42">
        <f t="shared" si="4"/>
        <v>-27.163828920498567</v>
      </c>
      <c r="I17" s="42">
        <f t="shared" si="4"/>
        <v>-22.486412069373102</v>
      </c>
      <c r="J17" s="42">
        <f t="shared" si="4"/>
        <v>-19.224717229296974</v>
      </c>
      <c r="K17" s="42">
        <f t="shared" si="4"/>
        <v>0.6591678598914399</v>
      </c>
      <c r="L17" s="42">
        <f t="shared" si="4"/>
        <v>-6.151688824447941</v>
      </c>
      <c r="M17" s="42">
        <f t="shared" si="4"/>
        <v>-10.657318407381744</v>
      </c>
      <c r="O17" s="42">
        <f t="shared" si="4"/>
        <v>-6.516428195806682</v>
      </c>
      <c r="P17" s="42">
        <f>Table!T17-Table!T16+P16</f>
        <v>-16.265539503207293</v>
      </c>
      <c r="Q17" s="42">
        <f>Table!U17-Table!U16+Q16</f>
        <v>-15.766404861573191</v>
      </c>
      <c r="R17" s="42">
        <f>Table!V17-Table!V16+R16</f>
        <v>-15.278989580267249</v>
      </c>
      <c r="S17" s="42">
        <f>Table!W17-Table!W16+S16</f>
        <v>-14.82148025245877</v>
      </c>
      <c r="T17" s="42">
        <f>Table!X17-Table!X16+T16</f>
        <v>-13.670207508480761</v>
      </c>
      <c r="U17" s="42"/>
    </row>
    <row r="18" spans="1:21" ht="12.75">
      <c r="A18">
        <f t="shared" si="2"/>
        <v>6</v>
      </c>
      <c r="B18" s="34" t="s">
        <v>103</v>
      </c>
      <c r="C18" s="18">
        <f>Input_external!G7/Table!C37*100</f>
        <v>36.53660871519481</v>
      </c>
      <c r="D18" s="18">
        <f>Input_external!H7/Table!D37*100</f>
        <v>35.25178840992306</v>
      </c>
      <c r="E18" s="18">
        <f>Input_external!I7/Table!E37*100</f>
        <v>38.35637435028463</v>
      </c>
      <c r="F18" s="18">
        <f>Input_external!J7/Table!F37*100</f>
        <v>39.92126560693624</v>
      </c>
      <c r="G18" s="18">
        <f>Input_external!K7/Table!G37*100</f>
        <v>47.31628984874926</v>
      </c>
      <c r="H18" s="18">
        <f>Input_external!L7/Table!H37*100</f>
        <v>48.87101926311921</v>
      </c>
      <c r="I18" s="18">
        <f>Input_external!M7/Table!I37*100</f>
        <v>47.266140336549824</v>
      </c>
      <c r="J18" s="18">
        <f>Input_external!N7/Table!J37*100</f>
        <v>47.800729046796604</v>
      </c>
      <c r="K18" s="18">
        <f>Input_external!O7/Table!K37*100</f>
        <v>34.91542161492573</v>
      </c>
      <c r="L18" s="18">
        <f>Input_external!P7/Table!L37*100</f>
        <v>37.74150950440462</v>
      </c>
      <c r="M18" s="18">
        <f>Input_external!Q7/Table!M37*100</f>
        <v>40.390721510732135</v>
      </c>
      <c r="N18" s="18"/>
      <c r="O18" s="18">
        <f>Table!S18</f>
        <v>35.404476074610706</v>
      </c>
      <c r="P18" s="18">
        <f>P19-P17</f>
        <v>44.00896255869867</v>
      </c>
      <c r="Q18" s="18">
        <f>Q19-Q17</f>
        <v>41.82272566114767</v>
      </c>
      <c r="R18" s="18">
        <f>R19-R17</f>
        <v>39.622724495933106</v>
      </c>
      <c r="S18" s="18">
        <f>S19-S17</f>
        <v>37.79233056749189</v>
      </c>
      <c r="T18" s="18">
        <f>T19-T17</f>
        <v>35.6682780507156</v>
      </c>
      <c r="U18" s="18"/>
    </row>
    <row r="19" spans="1:21" ht="12.75">
      <c r="A19">
        <f t="shared" si="2"/>
        <v>7</v>
      </c>
      <c r="B19" s="34" t="s">
        <v>104</v>
      </c>
      <c r="C19" s="18"/>
      <c r="D19" s="18">
        <f>-Input_external!H8/Table!D37*100</f>
        <v>25.528228774210664</v>
      </c>
      <c r="E19" s="18">
        <f>-Input_external!I8/Table!E37*100</f>
        <v>23.977522989928218</v>
      </c>
      <c r="F19" s="18">
        <f>-Input_external!J8/Table!F37*100</f>
        <v>25.56025647854576</v>
      </c>
      <c r="G19" s="18">
        <f>-Input_external!K8/Table!G37*100</f>
        <v>23.868374959124395</v>
      </c>
      <c r="H19" s="18">
        <f>-Input_external!L8/Table!H37*100</f>
        <v>21.707190342620642</v>
      </c>
      <c r="I19" s="18">
        <f>-Input_external!M8/Table!I37*100</f>
        <v>24.779728267176722</v>
      </c>
      <c r="J19" s="18">
        <f>-Input_external!N8/Table!J37*100</f>
        <v>28.57601181749963</v>
      </c>
      <c r="K19" s="18">
        <f>-Input_external!O8/Table!K37*100</f>
        <v>35.57458947481717</v>
      </c>
      <c r="L19" s="18">
        <f>-Input_external!P8/Table!L37*100</f>
        <v>31.589820679956677</v>
      </c>
      <c r="M19" s="18">
        <f>-Input_external!Q8/Table!M37*100</f>
        <v>29.73340310335039</v>
      </c>
      <c r="N19" s="18"/>
      <c r="O19" s="18">
        <f>Table!S19</f>
        <v>28.888047878804024</v>
      </c>
      <c r="P19" s="18">
        <f>Table!T19</f>
        <v>27.743423055491377</v>
      </c>
      <c r="Q19" s="18">
        <f>Table!U19</f>
        <v>26.05632079957448</v>
      </c>
      <c r="R19" s="18">
        <f>Table!V19</f>
        <v>24.34373491566586</v>
      </c>
      <c r="S19" s="18">
        <f>Table!W19</f>
        <v>22.970850315033122</v>
      </c>
      <c r="T19" s="18">
        <f>Table!X19</f>
        <v>21.99807054223484</v>
      </c>
      <c r="U19" s="18"/>
    </row>
    <row r="20" spans="1:21" ht="12.75">
      <c r="A20">
        <f t="shared" si="2"/>
        <v>8</v>
      </c>
      <c r="B20" s="15" t="s">
        <v>26</v>
      </c>
      <c r="C20" s="18"/>
      <c r="D20" s="18">
        <f>-(D21+D22)</f>
        <v>-1.7089290483771113</v>
      </c>
      <c r="E20" s="18">
        <f>-(E21+E22)</f>
        <v>-0.913597852369438</v>
      </c>
      <c r="F20" s="18">
        <f>-(F21+F22)</f>
        <v>-0.726476529600182</v>
      </c>
      <c r="G20" s="18">
        <f aca="true" t="shared" si="5" ref="G20:O20">-(G21+G22)</f>
        <v>-1.0269301236624533</v>
      </c>
      <c r="H20" s="18">
        <f t="shared" si="5"/>
        <v>-1.5005756089164308</v>
      </c>
      <c r="I20" s="18">
        <f t="shared" si="5"/>
        <v>-1.0200789581139456</v>
      </c>
      <c r="J20" s="18">
        <f t="shared" si="5"/>
        <v>-1.4500564382631769</v>
      </c>
      <c r="K20" s="18">
        <f t="shared" si="5"/>
        <v>-1.8410647364717936</v>
      </c>
      <c r="L20" s="18">
        <f t="shared" si="5"/>
        <v>-1.1817437382774247</v>
      </c>
      <c r="M20" s="18">
        <f t="shared" si="5"/>
        <v>-0.8809882228706428</v>
      </c>
      <c r="N20" s="18"/>
      <c r="O20" s="18">
        <f t="shared" si="5"/>
        <v>-0.8439007951753188</v>
      </c>
      <c r="P20" s="50">
        <f>-J52</f>
        <v>-1.22504412569226</v>
      </c>
      <c r="Q20" s="50">
        <f>P20</f>
        <v>-1.22504412569226</v>
      </c>
      <c r="R20" s="50">
        <f>Q20</f>
        <v>-1.22504412569226</v>
      </c>
      <c r="S20" s="50">
        <f>R20</f>
        <v>-1.22504412569226</v>
      </c>
      <c r="T20" s="50">
        <f>S20</f>
        <v>-1.22504412569226</v>
      </c>
      <c r="U20" s="18">
        <f>T20</f>
        <v>-1.22504412569226</v>
      </c>
    </row>
    <row r="21" spans="1:21" ht="12.75">
      <c r="A21">
        <f t="shared" si="2"/>
        <v>9</v>
      </c>
      <c r="B21" s="9" t="s">
        <v>41</v>
      </c>
      <c r="C21" s="18"/>
      <c r="D21" s="18">
        <f>Input_external!H9/Table!D$37*100</f>
        <v>1.7089290483771113</v>
      </c>
      <c r="E21" s="18">
        <f>Input_external!I9/Table!E$37*100</f>
        <v>0.913597852369438</v>
      </c>
      <c r="F21" s="18">
        <f>Input_external!J9/Table!F$37*100</f>
        <v>0.726476529600182</v>
      </c>
      <c r="G21" s="18">
        <f>Input_external!K9/Table!G$37*100</f>
        <v>1.0269301236624533</v>
      </c>
      <c r="H21" s="18">
        <f>Input_external!L9/Table!H$37*100</f>
        <v>1.5005756089164308</v>
      </c>
      <c r="I21" s="18">
        <f>Input_external!M9/Table!I$37*100</f>
        <v>1.0200789581139456</v>
      </c>
      <c r="J21" s="18">
        <f>Input_external!N9/Table!J$37*100</f>
        <v>1.4500564382631769</v>
      </c>
      <c r="K21" s="18">
        <f>Input_external!O9/Table!K$37*100</f>
        <v>1.8410647364717936</v>
      </c>
      <c r="L21" s="18">
        <f>Input_external!P9/Table!L$37*100</f>
        <v>1.1817437382774247</v>
      </c>
      <c r="M21" s="18">
        <f>Input_external!Q9/Table!M$37*100</f>
        <v>0.8809882228706428</v>
      </c>
      <c r="N21" s="18"/>
      <c r="O21" s="18">
        <f>Input_external!R9/Table!S$37*100</f>
        <v>0.8439007951753188</v>
      </c>
      <c r="P21" s="18">
        <f>P$20/Table!T$20*Table!T21</f>
        <v>1.22504412569226</v>
      </c>
      <c r="Q21" s="18">
        <f>Q$20/Table!U$20*Table!U21</f>
        <v>1.22504412569226</v>
      </c>
      <c r="R21" s="18">
        <f>R$20/Table!V$20*Table!V21</f>
        <v>1.22504412569226</v>
      </c>
      <c r="S21" s="18">
        <f>S$20/Table!W$20*Table!W21</f>
        <v>1.22504412569226</v>
      </c>
      <c r="T21" s="18">
        <f>T$20/Table!X$20*Table!X21</f>
        <v>1.22504412569226</v>
      </c>
      <c r="U21" s="18"/>
    </row>
    <row r="22" spans="1:21" ht="12.75">
      <c r="A22">
        <f t="shared" si="2"/>
        <v>10</v>
      </c>
      <c r="B22" s="8" t="s">
        <v>42</v>
      </c>
      <c r="C22" s="18"/>
      <c r="D22" s="18">
        <f>Input_external!H10/Table!D$37*100</f>
        <v>0</v>
      </c>
      <c r="E22" s="18">
        <f>Input_external!I10/Table!E$37*100</f>
        <v>0</v>
      </c>
      <c r="F22" s="18">
        <f>Input_external!J10/Table!F$37*100</f>
        <v>0</v>
      </c>
      <c r="G22" s="18">
        <f>Input_external!K10/Table!G$37*100</f>
        <v>0</v>
      </c>
      <c r="H22" s="18">
        <f>Input_external!L10/Table!H$37*100</f>
        <v>0</v>
      </c>
      <c r="I22" s="18">
        <f>Input_external!M10/Table!I$37*100</f>
        <v>0</v>
      </c>
      <c r="J22" s="18">
        <f>Input_external!N10/Table!J$37*100</f>
        <v>0</v>
      </c>
      <c r="K22" s="18">
        <f>Input_external!O10/Table!K$37*100</f>
        <v>0</v>
      </c>
      <c r="L22" s="18">
        <f>Input_external!P10/Table!L$37*100</f>
        <v>0</v>
      </c>
      <c r="M22" s="18">
        <f>Input_external!Q10/Table!M$37*100</f>
        <v>0</v>
      </c>
      <c r="N22" s="18"/>
      <c r="O22" s="18">
        <f>Input_external!R10/Table!S$37*100</f>
        <v>0</v>
      </c>
      <c r="P22" s="18">
        <f>P$20/Table!T$20*Table!T22</f>
        <v>0</v>
      </c>
      <c r="Q22" s="18">
        <f>Q$20/Table!U$20*Table!U22</f>
        <v>0</v>
      </c>
      <c r="R22" s="18">
        <f>R$20/Table!V$20*Table!V22</f>
        <v>0</v>
      </c>
      <c r="S22" s="18">
        <f>S$20/Table!W$20*Table!W22</f>
        <v>0</v>
      </c>
      <c r="T22" s="18">
        <f>T$20/Table!X$20*Table!X22</f>
        <v>0</v>
      </c>
      <c r="U22" s="18"/>
    </row>
    <row r="23" spans="1:21" ht="12.75">
      <c r="A23">
        <f t="shared" si="2"/>
        <v>11</v>
      </c>
      <c r="B23" s="12" t="s">
        <v>30</v>
      </c>
      <c r="C23" s="18"/>
      <c r="D23" s="42">
        <f>D25+D26+D27</f>
        <v>2.7025039826432256</v>
      </c>
      <c r="E23" s="42">
        <f>E25+E26+E27</f>
        <v>-3.461302319905054</v>
      </c>
      <c r="F23" s="42">
        <f>F25+F26+F27</f>
        <v>-4.716410756223144</v>
      </c>
      <c r="G23" s="42">
        <f>G25+G26+G27</f>
        <v>-2.8490828498856278</v>
      </c>
      <c r="H23" s="42">
        <f aca="true" t="shared" si="6" ref="H23:U23">H25+H26+H27</f>
        <v>-0.15613314354244845</v>
      </c>
      <c r="I23" s="42">
        <f t="shared" si="6"/>
        <v>-0.4349350089608929</v>
      </c>
      <c r="J23" s="42">
        <f t="shared" si="6"/>
        <v>-0.8294829148231108</v>
      </c>
      <c r="K23" s="42">
        <f t="shared" si="6"/>
        <v>0.9668251315967523</v>
      </c>
      <c r="L23" s="42">
        <f t="shared" si="6"/>
        <v>-0.5165411984663174</v>
      </c>
      <c r="M23" s="42">
        <f t="shared" si="6"/>
        <v>-0.48065059750035705</v>
      </c>
      <c r="O23" s="42">
        <f t="shared" si="6"/>
        <v>0.003450561946657514</v>
      </c>
      <c r="P23" s="42">
        <f t="shared" si="6"/>
        <v>-0.18228929050833917</v>
      </c>
      <c r="Q23" s="42">
        <f t="shared" si="6"/>
        <v>0.7086281596149799</v>
      </c>
      <c r="R23" s="42">
        <f t="shared" si="6"/>
        <v>1.5345981860519817</v>
      </c>
      <c r="S23" s="42">
        <f t="shared" si="6"/>
        <v>2.337761154839896</v>
      </c>
      <c r="T23" s="42">
        <f t="shared" si="6"/>
        <v>3.104171545056951</v>
      </c>
      <c r="U23" s="42">
        <f t="shared" si="6"/>
        <v>3.7936491955036615</v>
      </c>
    </row>
    <row r="24" spans="1:21" ht="12.75" hidden="1">
      <c r="A24">
        <f t="shared" si="2"/>
        <v>12</v>
      </c>
      <c r="B24" s="13" t="s">
        <v>31</v>
      </c>
      <c r="C24" s="42"/>
      <c r="D24" s="42">
        <f aca="true" t="shared" si="7" ref="D24:U24">1+D38/100+D41/100+D38/100*D41/100</f>
        <v>1.0368283320039988</v>
      </c>
      <c r="E24" s="42">
        <f t="shared" si="7"/>
        <v>1.195608288821117</v>
      </c>
      <c r="F24" s="42">
        <f t="shared" si="7"/>
        <v>1.2575738033439823</v>
      </c>
      <c r="G24" s="42">
        <f t="shared" si="7"/>
        <v>1.2094693589463261</v>
      </c>
      <c r="H24" s="42">
        <f t="shared" si="7"/>
        <v>1.1362916443192785</v>
      </c>
      <c r="I24" s="42">
        <f t="shared" si="7"/>
        <v>1.145069885312269</v>
      </c>
      <c r="J24" s="42">
        <f t="shared" si="7"/>
        <v>1.278579282867286</v>
      </c>
      <c r="K24" s="42">
        <f t="shared" si="7"/>
        <v>0.8034340173500737</v>
      </c>
      <c r="L24" s="42">
        <f t="shared" si="7"/>
        <v>1.165374830908146</v>
      </c>
      <c r="M24" s="42">
        <f t="shared" si="7"/>
        <v>1.1827651780047568</v>
      </c>
      <c r="O24" s="42">
        <f t="shared" si="7"/>
        <v>1.021463589319304</v>
      </c>
      <c r="P24" s="42">
        <f t="shared" si="7"/>
        <v>1.1408412885150494</v>
      </c>
      <c r="Q24" s="42">
        <f t="shared" si="7"/>
        <v>1.1408412885150494</v>
      </c>
      <c r="R24" s="42">
        <f t="shared" si="7"/>
        <v>1.1408412885150494</v>
      </c>
      <c r="S24" s="42">
        <f t="shared" si="7"/>
        <v>1.1408412885150494</v>
      </c>
      <c r="T24" s="42">
        <f t="shared" si="7"/>
        <v>1.1408412885150494</v>
      </c>
      <c r="U24" s="42">
        <f t="shared" si="7"/>
        <v>1.1408412885150494</v>
      </c>
    </row>
    <row r="25" spans="1:21" ht="12.75">
      <c r="A25">
        <v>12</v>
      </c>
      <c r="B25" s="8" t="s">
        <v>48</v>
      </c>
      <c r="C25" s="18"/>
      <c r="D25" s="18">
        <f aca="true" t="shared" si="8" ref="D25:T25">D42/100/D24*C12</f>
        <v>4.175424582117273</v>
      </c>
      <c r="E25" s="18">
        <f t="shared" si="8"/>
        <v>3.064973440207147</v>
      </c>
      <c r="F25" s="18">
        <f t="shared" si="8"/>
        <v>2.331755312748972</v>
      </c>
      <c r="G25" s="18">
        <f t="shared" si="8"/>
        <v>1.5791472656318855</v>
      </c>
      <c r="H25" s="18">
        <f t="shared" si="8"/>
        <v>1.841615520033802</v>
      </c>
      <c r="I25" s="18">
        <f t="shared" si="8"/>
        <v>0.17125413165416603</v>
      </c>
      <c r="J25" s="18">
        <f t="shared" si="8"/>
        <v>0.11064687681526249</v>
      </c>
      <c r="K25" s="18">
        <f t="shared" si="8"/>
        <v>0.12322086818905707</v>
      </c>
      <c r="L25" s="18">
        <f t="shared" si="8"/>
        <v>0.0684167427423772</v>
      </c>
      <c r="M25" s="18">
        <f t="shared" si="8"/>
        <v>0.06531171515774152</v>
      </c>
      <c r="N25" s="18"/>
      <c r="O25" s="18">
        <f>O42/100/O24*M12</f>
        <v>0.06436877297315226</v>
      </c>
      <c r="P25" s="18">
        <f t="shared" si="8"/>
        <v>0.13787086583127026</v>
      </c>
      <c r="Q25" s="18">
        <f t="shared" si="8"/>
        <v>-0.5396443681933313</v>
      </c>
      <c r="R25" s="18">
        <f t="shared" si="8"/>
        <v>-1.1675157751247611</v>
      </c>
      <c r="S25" s="18">
        <f t="shared" si="8"/>
        <v>-1.775804255318454</v>
      </c>
      <c r="T25" s="18">
        <f t="shared" si="8"/>
        <v>-2.3533129904715477</v>
      </c>
      <c r="U25" s="18">
        <f>U42/100/U24*T12</f>
        <v>-2.87601500222724</v>
      </c>
    </row>
    <row r="26" spans="1:21" ht="12.75">
      <c r="A26">
        <f t="shared" si="2"/>
        <v>13</v>
      </c>
      <c r="B26" s="9" t="s">
        <v>32</v>
      </c>
      <c r="C26" s="18"/>
      <c r="D26" s="18">
        <f>-D38/100/D24*C12</f>
        <v>-1.8797285787410425</v>
      </c>
      <c r="E26" s="18">
        <f>-E38/100/E24*D12</f>
        <v>-2.3021162863888183</v>
      </c>
      <c r="F26" s="18">
        <f>-F38/100/F24*E12</f>
        <v>-1.422911145575965</v>
      </c>
      <c r="G26" s="18">
        <f>-G38/100/G24*F12</f>
        <v>-1.0781516543871474</v>
      </c>
      <c r="H26" s="18">
        <f aca="true" t="shared" si="9" ref="H26:U26">-H38/100/H24*G12</f>
        <v>-0.2931579075965019</v>
      </c>
      <c r="I26" s="18">
        <f t="shared" si="9"/>
        <v>-0.1253580243708515</v>
      </c>
      <c r="J26" s="18">
        <f t="shared" si="9"/>
        <v>-0.08099351382877072</v>
      </c>
      <c r="K26" s="18">
        <f t="shared" si="9"/>
        <v>-0.10467273085252374</v>
      </c>
      <c r="L26" s="18">
        <f t="shared" si="9"/>
        <v>-0.11625768034378085</v>
      </c>
      <c r="M26" s="18">
        <f t="shared" si="9"/>
        <v>-0.07379635513469245</v>
      </c>
      <c r="N26" s="18"/>
      <c r="O26" s="18">
        <f>-O38/100/O24*M12</f>
        <v>-0.08016254407766935</v>
      </c>
      <c r="P26" s="18">
        <f t="shared" si="9"/>
        <v>-0.0826470991334621</v>
      </c>
      <c r="Q26" s="18">
        <f t="shared" si="9"/>
        <v>0.3234914158693353</v>
      </c>
      <c r="R26" s="18">
        <f t="shared" si="9"/>
        <v>0.6998707915906324</v>
      </c>
      <c r="S26" s="18">
        <f t="shared" si="9"/>
        <v>1.064511123840644</v>
      </c>
      <c r="T26" s="18">
        <f t="shared" si="9"/>
        <v>1.410700446703463</v>
      </c>
      <c r="U26" s="18">
        <f t="shared" si="9"/>
        <v>1.7240357167938225</v>
      </c>
    </row>
    <row r="27" spans="1:21" ht="12.75">
      <c r="A27">
        <f>A26+1</f>
        <v>14</v>
      </c>
      <c r="B27" s="9" t="s">
        <v>54</v>
      </c>
      <c r="C27" s="18"/>
      <c r="D27" s="18">
        <f>(-D41/100*(1+D38/100)+Input_external!H36/100*D39/100*(1+D42/100))/D24*C12</f>
        <v>0.4068079792669953</v>
      </c>
      <c r="E27" s="18">
        <f>(-E41/100*(1+E38/100)+Input_external!I36/100*E39/100*(1+E42/100))/E24*D12</f>
        <v>-4.2241594737233825</v>
      </c>
      <c r="F27" s="18">
        <f>(-F41/100*(1+F38/100)+Input_external!J36/100*F39/100*(1+F42/100))/F24*E12</f>
        <v>-5.6252549233961515</v>
      </c>
      <c r="G27" s="18">
        <f>(-G41/100*(1+G38/100)+Input_external!K36/100*G39/100*(1+G42/100))/G24*F12</f>
        <v>-3.350078461130366</v>
      </c>
      <c r="H27" s="18">
        <f>(-H41/100*(1+H38/100)+Input_external!L36/100*H39/100*(1+H42/100))/H24*G12</f>
        <v>-1.7045907559797486</v>
      </c>
      <c r="I27" s="18">
        <f>(-I41/100*(1+I38/100)+Input_external!M36/100*I39/100*(1+I42/100))/I24*H12</f>
        <v>-0.4808311162442074</v>
      </c>
      <c r="J27" s="18">
        <f>(-J41/100*(1+J38/100)+Input_external!N36/100*J39/100*(1+J42/100))/J24*I12</f>
        <v>-0.8591362778096026</v>
      </c>
      <c r="K27" s="18">
        <f>(-K41/100*(1+K38/100)+Input_external!O36/100*K39/100*(1+K42/100))/K24*J12</f>
        <v>0.9482769942602189</v>
      </c>
      <c r="L27" s="18">
        <f>(-L41/100*(1+L38/100)+Input_external!P36/100*L39/100*(1+L42/100))/L24*K12</f>
        <v>-0.4687002608649138</v>
      </c>
      <c r="M27" s="18">
        <f>(-M41/100*(1+M38/100)+Input_external!Q36/100*M39/100*(1+M42/100))/M24*L12</f>
        <v>-0.4721659575234061</v>
      </c>
      <c r="N27" s="18"/>
      <c r="O27" s="18">
        <f>(-O41/100*(1+O38/100)+Input_external!R36/100*O39/100*(1+O42/100))/O24*M12</f>
        <v>0.0192443330511746</v>
      </c>
      <c r="P27" s="18">
        <f>(-P41/100*(1+P38/100)+Input_external!S36/100*P39/100*(1+P42/100))/P24*O12</f>
        <v>-0.23751305720614732</v>
      </c>
      <c r="Q27" s="18">
        <f>(-Q41/100*(1+Q38/100)+Input_external!T36/100*Q39/100*(1+Q42/100))/Q24*P12</f>
        <v>0.9247811119389759</v>
      </c>
      <c r="R27" s="18">
        <f>(-R41/100*(1+R38/100)+Input_external!U36/100*R39/100*(1+R42/100))/R24*Q12</f>
        <v>2.0022431695861105</v>
      </c>
      <c r="S27" s="18">
        <f>(-S41/100*(1+S38/100)+Input_external!V36/100*S39/100*(1+S42/100))/S24*R12</f>
        <v>3.0490542863177064</v>
      </c>
      <c r="T27" s="18">
        <f>(-T41/100*(1+T38/100)+Input_external!W36/100*T39/100*(1+T42/100))/T24*S12</f>
        <v>4.046784088825036</v>
      </c>
      <c r="U27" s="18">
        <f>(-U41/100*(1+U38/100)+Input_external!W36/100*U39/100*(1+U42/100))/U24*T12</f>
        <v>4.945628480937079</v>
      </c>
    </row>
    <row r="28" spans="1:21" ht="12.75">
      <c r="A28">
        <f>A26+1</f>
        <v>14</v>
      </c>
      <c r="B28" s="11" t="s">
        <v>43</v>
      </c>
      <c r="C28" s="18"/>
      <c r="D28" s="18">
        <f>D14-D15</f>
        <v>9.284875787211469</v>
      </c>
      <c r="E28" s="18">
        <f>E14-E15</f>
        <v>14.94041933057899</v>
      </c>
      <c r="F28" s="18">
        <f>F14-F15</f>
        <v>11.956488989047685</v>
      </c>
      <c r="G28" s="18">
        <f aca="true" t="shared" si="10" ref="G28:M28">G14-G15</f>
        <v>17.064478488858914</v>
      </c>
      <c r="H28" s="18">
        <f t="shared" si="10"/>
        <v>16.310233749188242</v>
      </c>
      <c r="I28" s="18">
        <f t="shared" si="10"/>
        <v>23.94058302207131</v>
      </c>
      <c r="J28" s="18">
        <f t="shared" si="10"/>
        <v>21.586736873311203</v>
      </c>
      <c r="K28" s="18">
        <f t="shared" si="10"/>
        <v>1.9690825205765923</v>
      </c>
      <c r="L28" s="18">
        <f t="shared" si="10"/>
        <v>8.722678062036529</v>
      </c>
      <c r="M28" s="18">
        <f t="shared" si="10"/>
        <v>10.901774563416097</v>
      </c>
      <c r="N28" s="18"/>
      <c r="O28" s="49">
        <f>Table!S28</f>
        <v>6.308554552683894</v>
      </c>
      <c r="P28" s="60">
        <f>Table!T28*Table!T37/P37</f>
        <v>4.394670655682511</v>
      </c>
      <c r="Q28" s="60">
        <f>Table!U28*Table!U37/Q37</f>
        <v>4.409193059994707</v>
      </c>
      <c r="R28" s="60">
        <f>Table!V28*Table!V37/R37</f>
        <v>3.9403905480919867</v>
      </c>
      <c r="S28" s="60">
        <f>Table!W28*Table!W37/S37</f>
        <v>3.6986107260308048</v>
      </c>
      <c r="T28" s="60">
        <f>Table!X28*Table!X37/T37</f>
        <v>3.9318048095360516</v>
      </c>
      <c r="U28" s="18">
        <v>0</v>
      </c>
    </row>
    <row r="29" spans="2:21" ht="12.75">
      <c r="B29" s="7"/>
      <c r="C29" s="7"/>
      <c r="D29" s="31"/>
      <c r="E29" s="31"/>
      <c r="F29" s="31"/>
      <c r="G29" s="31"/>
      <c r="H29" s="31"/>
      <c r="I29" s="31"/>
      <c r="U29" s="42"/>
    </row>
    <row r="30" spans="2:21" ht="12.75">
      <c r="B30" t="s">
        <v>28</v>
      </c>
      <c r="C30" s="19">
        <f aca="true" t="shared" si="11" ref="C30:T30">C12/C18*100</f>
        <v>113.49478546930776</v>
      </c>
      <c r="D30" s="19">
        <f t="shared" si="11"/>
        <v>113.15817355651112</v>
      </c>
      <c r="E30" s="19">
        <f t="shared" si="11"/>
        <v>89.7160968113715</v>
      </c>
      <c r="F30" s="19">
        <f t="shared" si="11"/>
        <v>64.04721454639892</v>
      </c>
      <c r="G30" s="19">
        <f t="shared" si="11"/>
        <v>35.2006552006552</v>
      </c>
      <c r="H30" s="19">
        <f t="shared" si="11"/>
        <v>9.790648988136777</v>
      </c>
      <c r="I30" s="19">
        <f t="shared" si="11"/>
        <v>9.128859483301827</v>
      </c>
      <c r="J30" s="19">
        <f t="shared" si="11"/>
        <v>7.213501052207485</v>
      </c>
      <c r="K30" s="19">
        <f t="shared" si="11"/>
        <v>11.806021549913401</v>
      </c>
      <c r="L30" s="19">
        <f t="shared" si="11"/>
        <v>9.361565380423272</v>
      </c>
      <c r="M30" s="19">
        <f t="shared" si="11"/>
        <v>6.623719980204909</v>
      </c>
      <c r="N30" s="19"/>
      <c r="O30" s="19">
        <f t="shared" si="11"/>
        <v>7.102458151117677</v>
      </c>
      <c r="P30" s="19">
        <f t="shared" si="11"/>
        <v>-22.364586383559867</v>
      </c>
      <c r="Q30" s="19">
        <f t="shared" si="11"/>
        <v>-50.914886109551595</v>
      </c>
      <c r="R30" s="19">
        <f t="shared" si="11"/>
        <v>-81.74197187628651</v>
      </c>
      <c r="S30" s="19">
        <f t="shared" si="11"/>
        <v>-113.57176363205821</v>
      </c>
      <c r="T30" s="19">
        <f t="shared" si="11"/>
        <v>-147.06297798824392</v>
      </c>
      <c r="U30" s="19"/>
    </row>
    <row r="31" spans="2:21" ht="12.75">
      <c r="B31" s="7"/>
      <c r="C31" s="7"/>
      <c r="D31" s="31"/>
      <c r="E31" s="31"/>
      <c r="F31" s="31"/>
      <c r="G31" s="31"/>
      <c r="H31" s="31"/>
      <c r="I31" s="31"/>
      <c r="U31" s="42"/>
    </row>
    <row r="32" spans="2:21" ht="12.75">
      <c r="B32" s="48" t="s">
        <v>76</v>
      </c>
      <c r="C32" s="7"/>
      <c r="D32" s="19">
        <f>Input_external!H27</f>
        <v>-0.8771599999999999</v>
      </c>
      <c r="E32" s="19">
        <f>Input_external!I27</f>
        <v>-4.751099999999999</v>
      </c>
      <c r="F32" s="19">
        <f>Input_external!J27</f>
        <v>-6.174078</v>
      </c>
      <c r="G32" s="19">
        <f>Input_external!K27</f>
        <v>-15.4545</v>
      </c>
      <c r="H32" s="19">
        <f>Input_external!L27</f>
        <v>-14.290199999999999</v>
      </c>
      <c r="I32" s="19">
        <f>Input_external!M27</f>
        <v>-29.25</v>
      </c>
      <c r="J32" s="19">
        <f>Input_external!N27</f>
        <v>-32.552195</v>
      </c>
      <c r="K32" s="19">
        <f>Input_external!O27</f>
        <v>0.9994119999999901</v>
      </c>
      <c r="L32" s="19">
        <f>Input_external!P27</f>
        <v>-9.66064582097</v>
      </c>
      <c r="M32" s="19">
        <f>Input_external!Q27</f>
        <v>-17.14824545487104</v>
      </c>
      <c r="N32" s="19"/>
      <c r="O32" s="35">
        <f aca="true" t="shared" si="12" ref="O32:T32">O71</f>
        <v>-9.961855854721192</v>
      </c>
      <c r="P32" s="35">
        <f t="shared" si="12"/>
        <v>-36.87331617367807</v>
      </c>
      <c r="Q32" s="35">
        <f t="shared" si="12"/>
        <v>-46.74857570300274</v>
      </c>
      <c r="R32" s="35">
        <f t="shared" si="12"/>
        <v>-60.91975647617346</v>
      </c>
      <c r="S32" s="35">
        <f t="shared" si="12"/>
        <v>-74.66789718529941</v>
      </c>
      <c r="T32" s="35">
        <f t="shared" si="12"/>
        <v>-93.07621695798565</v>
      </c>
      <c r="U32" s="52"/>
    </row>
    <row r="33" spans="2:21" ht="12.75">
      <c r="B33" s="12" t="s">
        <v>38</v>
      </c>
      <c r="C33" s="7"/>
      <c r="D33" s="19">
        <f aca="true" t="shared" si="13" ref="D33:T33">D32/D37*100</f>
        <v>-1.5453651588396569</v>
      </c>
      <c r="E33" s="19">
        <f t="shared" si="13"/>
        <v>-7.00095928450393</v>
      </c>
      <c r="F33" s="19">
        <f t="shared" si="13"/>
        <v>-7.2343915466465045</v>
      </c>
      <c r="G33" s="19">
        <f t="shared" si="13"/>
        <v>-14.97235056239753</v>
      </c>
      <c r="H33" s="19">
        <f t="shared" si="13"/>
        <v>-12.183821344623622</v>
      </c>
      <c r="I33" s="19">
        <f t="shared" si="13"/>
        <v>-21.77905804732329</v>
      </c>
      <c r="J33" s="19">
        <f t="shared" si="13"/>
        <v>-18.956835317007386</v>
      </c>
      <c r="K33" s="19">
        <f t="shared" si="13"/>
        <v>0.7244024371680038</v>
      </c>
      <c r="L33" s="19">
        <f t="shared" si="13"/>
        <v>-6.00863563507751</v>
      </c>
      <c r="M33" s="19">
        <f t="shared" si="13"/>
        <v>-9.017597987456698</v>
      </c>
      <c r="N33" s="19"/>
      <c r="O33" s="19">
        <f t="shared" si="13"/>
        <v>-5.128478529678023</v>
      </c>
      <c r="P33" s="19">
        <f t="shared" si="13"/>
        <v>-16.639307786528658</v>
      </c>
      <c r="Q33" s="19">
        <f t="shared" si="13"/>
        <v>-18.491247481674417</v>
      </c>
      <c r="R33" s="19">
        <f t="shared" si="13"/>
        <v>-21.121791709539252</v>
      </c>
      <c r="S33" s="19">
        <f t="shared" si="13"/>
        <v>-22.69244477926773</v>
      </c>
      <c r="T33" s="19">
        <f t="shared" si="13"/>
        <v>-24.794814259024484</v>
      </c>
      <c r="U33" s="19"/>
    </row>
    <row r="34" spans="2:21" ht="12.75">
      <c r="B34" s="7"/>
      <c r="C34" s="7"/>
      <c r="D34" s="31"/>
      <c r="E34" s="31"/>
      <c r="F34" s="31"/>
      <c r="G34" s="31"/>
      <c r="H34" s="31"/>
      <c r="I34" s="31"/>
      <c r="U34" s="22" t="s">
        <v>131</v>
      </c>
    </row>
    <row r="35" spans="2:21" ht="12.75">
      <c r="B35" s="48" t="s">
        <v>46</v>
      </c>
      <c r="C35" s="14"/>
      <c r="D35" s="39"/>
      <c r="E35" s="39"/>
      <c r="F35" s="39"/>
      <c r="G35" s="39"/>
      <c r="H35" s="39"/>
      <c r="I35" s="39"/>
      <c r="J35" s="39"/>
      <c r="U35" s="30" t="s">
        <v>132</v>
      </c>
    </row>
    <row r="36" spans="2:21" ht="12.75">
      <c r="B36" s="5"/>
      <c r="C36" s="5"/>
      <c r="D36" s="32"/>
      <c r="E36" s="32"/>
      <c r="F36" s="32"/>
      <c r="G36" s="32"/>
      <c r="H36" s="32"/>
      <c r="I36" s="32"/>
      <c r="J36" s="28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2:21" ht="12.75">
      <c r="B37" s="5" t="s">
        <v>75</v>
      </c>
      <c r="C37" s="18">
        <f>IF(ISNUMBER(Input_external!G$11),Input_external!G$11,".")</f>
        <v>54.74454445379784</v>
      </c>
      <c r="D37" s="18">
        <f>IF(ISNUMBER(Input_external!H$11),Input_external!H$11,".")</f>
        <v>56.76069471234998</v>
      </c>
      <c r="E37" s="18">
        <f>IF(ISNUMBER(Input_external!I$11),Input_external!I$11,".")</f>
        <v>67.86355707733058</v>
      </c>
      <c r="F37" s="18">
        <f>IF(ISNUMBER(Input_external!J$11),Input_external!J$11,".")</f>
        <v>85.34343158219005</v>
      </c>
      <c r="G37" s="18">
        <f>IF(ISNUMBER(Input_external!K$11),Input_external!K$11,".")</f>
        <v>103.22026548599102</v>
      </c>
      <c r="H37" s="18">
        <f>IF(ISNUMBER(Input_external!L$11),Input_external!L$11,".")</f>
        <v>117.28832519614924</v>
      </c>
      <c r="I37" s="18">
        <f>IF(ISNUMBER(Input_external!M$11),Input_external!M$11,".")</f>
        <v>134.30332908082272</v>
      </c>
      <c r="J37" s="18">
        <f>IF(ISNUMBER(Input_external!N$11),Input_external!N$11,".")</f>
        <v>171.71745418284743</v>
      </c>
      <c r="K37" s="42">
        <f>IF(ISNUMBER(Input_external!O$11),Input_external!O$11,".")</f>
        <v>137.96364406325236</v>
      </c>
      <c r="L37" s="42">
        <f>IF(ISNUMBER(Input_external!P$11),Input_external!P$11,".")</f>
        <v>160.77935837168434</v>
      </c>
      <c r="M37" s="42">
        <f>IF(ISNUMBER(Input_external!Q$11),Input_external!Q$11,".")</f>
        <v>190.16422642397583</v>
      </c>
      <c r="O37" s="42">
        <f>M37*(1+O38/100)*(1+O41/100)</f>
        <v>194.24583328316322</v>
      </c>
      <c r="P37" s="42">
        <f aca="true" t="shared" si="14" ref="P37:U37">O37*(1+P38/100)*(1+P41/100)</f>
        <v>221.60366673144338</v>
      </c>
      <c r="Q37" s="42">
        <f t="shared" si="14"/>
        <v>252.81461269355944</v>
      </c>
      <c r="R37" s="42">
        <f t="shared" si="14"/>
        <v>288.4213485007535</v>
      </c>
      <c r="S37" s="42">
        <f t="shared" si="14"/>
        <v>329.0429828588477</v>
      </c>
      <c r="T37" s="42">
        <f t="shared" si="14"/>
        <v>375.3858205415232</v>
      </c>
      <c r="U37" s="42">
        <f t="shared" si="14"/>
        <v>428.2556431968703</v>
      </c>
    </row>
    <row r="38" spans="2:21" ht="12.75">
      <c r="B38" s="5" t="s">
        <v>44</v>
      </c>
      <c r="C38" s="5"/>
      <c r="D38" s="18">
        <f>(Input_external!H13/Input_external!G13-1)*100</f>
        <v>4.699999999999993</v>
      </c>
      <c r="E38" s="18">
        <f>(Input_external!I13/Input_external!H13-1)*100</f>
        <v>6.899999999999995</v>
      </c>
      <c r="F38" s="18">
        <f>(Input_external!J13/Input_external!I13-1)*100</f>
        <v>5.199999999999916</v>
      </c>
      <c r="G38" s="18">
        <f>(Input_external!K13/Input_external!J13-1)*100</f>
        <v>5.100000000000082</v>
      </c>
      <c r="H38" s="18">
        <f>(Input_external!L13/Input_external!K13-1)*100</f>
        <v>2.0000000000000684</v>
      </c>
      <c r="I38" s="18">
        <f>(Input_external!M13/Input_external!L13-1)*100</f>
        <v>3.000000000000047</v>
      </c>
      <c r="J38" s="18">
        <f>(Input_external!N13/Input_external!M13-1)*100</f>
        <v>2.3999999999999577</v>
      </c>
      <c r="K38" s="42">
        <f>(Input_external!O13/Input_external!N13-1)*100</f>
        <v>2.4389514241625054</v>
      </c>
      <c r="L38" s="42">
        <f>(Input_external!P13/Input_external!O13-1)*100</f>
        <v>3.286748135925688</v>
      </c>
      <c r="M38" s="42">
        <f>(Input_external!Q13/Input_external!P13-1)*100</f>
        <v>2.4703910269243456</v>
      </c>
      <c r="O38" s="42">
        <f>(Input_external!R13/Input_external!Q13-1)*100</f>
        <v>3.060629831131245</v>
      </c>
      <c r="P38" s="51">
        <f>J54</f>
        <v>3.7496090587012603</v>
      </c>
      <c r="Q38" s="51">
        <f>P38</f>
        <v>3.7496090587012603</v>
      </c>
      <c r="R38" s="51">
        <f>Q38</f>
        <v>3.7496090587012603</v>
      </c>
      <c r="S38" s="51">
        <f>R38</f>
        <v>3.7496090587012603</v>
      </c>
      <c r="T38" s="51">
        <f>S38</f>
        <v>3.7496090587012603</v>
      </c>
      <c r="U38" s="42">
        <f>T38</f>
        <v>3.7496090587012603</v>
      </c>
    </row>
    <row r="39" spans="2:21" ht="12.75">
      <c r="B39" s="11" t="s">
        <v>53</v>
      </c>
      <c r="C39" s="11"/>
      <c r="D39" s="18">
        <f>Input_external!H33</f>
        <v>-3.0959352123882455</v>
      </c>
      <c r="E39" s="18">
        <f>Input_external!I33</f>
        <v>2.954842044059691</v>
      </c>
      <c r="F39" s="18">
        <f>Input_external!J33</f>
        <v>7.3956536641074155</v>
      </c>
      <c r="G39" s="18">
        <f>Input_external!K33</f>
        <v>-1.652660131054151</v>
      </c>
      <c r="H39" s="18">
        <f>Input_external!L33</f>
        <v>0.8667873268701332</v>
      </c>
      <c r="I39" s="18">
        <f>Input_external!M33</f>
        <v>4.840670357307153</v>
      </c>
      <c r="J39" s="18">
        <f>Input_external!N33</f>
        <v>7.292344091615721</v>
      </c>
      <c r="K39" s="18">
        <f>Input_external!O33</f>
        <v>-11.203078746447526</v>
      </c>
      <c r="L39" s="18">
        <f>Input_external!P33</f>
        <v>-2.9526164307339897</v>
      </c>
      <c r="M39" s="18">
        <f>Input_external!Q33</f>
        <v>3.084047038887072</v>
      </c>
      <c r="N39" s="18"/>
      <c r="O39" s="18">
        <f>Input_external!R33</f>
        <v>-2.3437633368933453</v>
      </c>
      <c r="P39" s="18">
        <f>Input_external!S33</f>
        <v>-2.088832794258577</v>
      </c>
      <c r="Q39" s="18">
        <f>Input_external!T33</f>
        <v>-1.7548474059878805</v>
      </c>
      <c r="R39" s="18">
        <f>Input_external!U33</f>
        <v>-1.716177295824528</v>
      </c>
      <c r="S39" s="18">
        <f>Input_external!V33</f>
        <v>-1.6847996711095492</v>
      </c>
      <c r="T39" s="18">
        <f>Input_external!W33</f>
        <v>-1.6715830875122517</v>
      </c>
      <c r="U39" s="42">
        <f>T39</f>
        <v>-1.6715830875122517</v>
      </c>
    </row>
    <row r="40" spans="2:21" ht="12.75">
      <c r="B40" s="11" t="s">
        <v>64</v>
      </c>
      <c r="C40" s="11"/>
      <c r="D40" s="18">
        <f>Input_external!H34</f>
        <v>2.1923014274317643</v>
      </c>
      <c r="E40" s="18">
        <f>Input_external!I34</f>
        <v>8.63366592530288</v>
      </c>
      <c r="F40" s="18">
        <f>Input_external!J34</f>
        <v>11.309193604047806</v>
      </c>
      <c r="G40" s="18">
        <f>Input_external!K34</f>
        <v>17.01176675561664</v>
      </c>
      <c r="H40" s="18">
        <f>Input_external!L34</f>
        <v>10.443828491256802</v>
      </c>
      <c r="I40" s="18">
        <f>Input_external!M34</f>
        <v>6.038842699668545</v>
      </c>
      <c r="J40" s="18">
        <f>Input_external!N34</f>
        <v>16.37480674845806</v>
      </c>
      <c r="K40" s="18">
        <f>Input_external!O34</f>
        <v>-11.674280643559175</v>
      </c>
      <c r="L40" s="18">
        <f>Input_external!P34</f>
        <v>16.26184179685266</v>
      </c>
      <c r="M40" s="18">
        <f>Input_external!Q34</f>
        <v>11.97180418387267</v>
      </c>
      <c r="N40" s="18"/>
      <c r="O40" s="18">
        <f>Input_external!R34</f>
        <v>1.4916035372531944</v>
      </c>
      <c r="P40" s="18">
        <f>Input_external!S34</f>
        <v>1.9251208601722025</v>
      </c>
      <c r="Q40" s="18">
        <f>Input_external!T34</f>
        <v>3.0981221359417166</v>
      </c>
      <c r="R40" s="18">
        <f>Input_external!U34</f>
        <v>1.9623466631461417</v>
      </c>
      <c r="S40" s="18">
        <f>Input_external!V34</f>
        <v>1.9106324312814449</v>
      </c>
      <c r="T40" s="18">
        <f>Input_external!W34</f>
        <v>2.197196160975312</v>
      </c>
      <c r="U40" s="42">
        <f>T40</f>
        <v>2.197196160975312</v>
      </c>
    </row>
    <row r="41" spans="2:21" s="24" customFormat="1" ht="12.75">
      <c r="B41" s="36" t="s">
        <v>65</v>
      </c>
      <c r="C41" s="36"/>
      <c r="D41" s="37">
        <f>((1+D39/100)*(1+D40/100)-1)*100</f>
        <v>-0.9715060168100309</v>
      </c>
      <c r="E41" s="37">
        <f aca="true" t="shared" si="15" ref="E41:O41">((1+E39/100)*(1+E40/100)-1)*100</f>
        <v>11.843619160067087</v>
      </c>
      <c r="F41" s="37">
        <f t="shared" si="15"/>
        <v>19.541236059313995</v>
      </c>
      <c r="G41" s="37">
        <f t="shared" si="15"/>
        <v>15.077959937804497</v>
      </c>
      <c r="H41" s="37">
        <f t="shared" si="15"/>
        <v>11.401141599929199</v>
      </c>
      <c r="I41" s="37">
        <f t="shared" si="15"/>
        <v>11.17183352546296</v>
      </c>
      <c r="J41" s="37">
        <f t="shared" si="15"/>
        <v>24.861258092508454</v>
      </c>
      <c r="K41" s="37">
        <f t="shared" si="15"/>
        <v>-21.569480536427488</v>
      </c>
      <c r="L41" s="37">
        <f t="shared" si="15"/>
        <v>12.82907555328483</v>
      </c>
      <c r="M41" s="37">
        <f t="shared" si="15"/>
        <v>15.425067295193816</v>
      </c>
      <c r="N41" s="37"/>
      <c r="O41" s="37">
        <f t="shared" si="15"/>
        <v>-0.8871194564780915</v>
      </c>
      <c r="P41" s="26">
        <f>J55</f>
        <v>9.961020467032732</v>
      </c>
      <c r="Q41" s="26">
        <f aca="true" t="shared" si="16" ref="Q41:T42">P41</f>
        <v>9.961020467032732</v>
      </c>
      <c r="R41" s="26">
        <f t="shared" si="16"/>
        <v>9.961020467032732</v>
      </c>
      <c r="S41" s="26">
        <f t="shared" si="16"/>
        <v>9.961020467032732</v>
      </c>
      <c r="T41" s="26">
        <f t="shared" si="16"/>
        <v>9.961020467032732</v>
      </c>
      <c r="U41" s="42">
        <f>T41</f>
        <v>9.961020467032732</v>
      </c>
    </row>
    <row r="42" spans="2:21" ht="12.75">
      <c r="B42" s="11" t="s">
        <v>45</v>
      </c>
      <c r="C42" s="11"/>
      <c r="D42" s="18">
        <f>IF(ISNUMBER(100*Input_external!H5/Input_external!G4),(100*Input_external!H5/Input_external!G4),".")</f>
        <v>10.440068719439672</v>
      </c>
      <c r="E42" s="18">
        <f>IF(ISNUMBER(100*Input_external!I5/Input_external!H4),(100*Input_external!I5/Input_external!H4),".")</f>
        <v>9.186467626534759</v>
      </c>
      <c r="F42" s="18">
        <f>IF(ISNUMBER(100*Input_external!J5/Input_external!I4),(100*Input_external!J5/Input_external!I4),".")</f>
        <v>8.52135262556149</v>
      </c>
      <c r="G42" s="18">
        <f>IF(ISNUMBER(100*Input_external!K5/Input_external!J4),(100*Input_external!K5/Input_external!J4),".")</f>
        <v>7.469868475321937</v>
      </c>
      <c r="H42" s="18">
        <f>IF(ISNUMBER(100*Input_external!L5/Input_external!K4),(100*Input_external!L5/Input_external!K4),".")</f>
        <v>12.563983248022335</v>
      </c>
      <c r="I42" s="18">
        <f>IF(ISNUMBER(100*Input_external!M5/Input_external!L4),(100*Input_external!M5/Input_external!L4),".")</f>
        <v>4.098360655737705</v>
      </c>
      <c r="J42" s="18">
        <f>IF(ISNUMBER(100*Input_external!N5/Input_external!M4),(100*Input_external!N5/Input_external!M4),".")</f>
        <v>3.278688524590164</v>
      </c>
      <c r="K42" s="42">
        <f>IF(ISNUMBER(100*Input_external!O5/Input_external!N4),(100*Input_external!O5/Input_external!N4),".")</f>
        <v>2.8711366323256207</v>
      </c>
      <c r="L42" s="42">
        <f>IF(ISNUMBER(100*Input_external!P5/Input_external!O4),(100*Input_external!P5/Input_external!O4),".")</f>
        <v>1.9342257733825916</v>
      </c>
      <c r="M42" s="42">
        <f>IF(ISNUMBER(100*Input_external!Q5/Input_external!P4),(100*Input_external!Q5/Input_external!P4),".")</f>
        <v>2.18636103076144</v>
      </c>
      <c r="O42" s="42">
        <f>IF(ISNUMBER(100*Input_external!R5/Input_external!Q4),(100*Input_external!R5/Input_external!Q4),".")</f>
        <v>2.457618941884664</v>
      </c>
      <c r="P42" s="51">
        <f>J53</f>
        <v>6.255051331167772</v>
      </c>
      <c r="Q42" s="51">
        <f t="shared" si="16"/>
        <v>6.255051331167772</v>
      </c>
      <c r="R42" s="51">
        <f t="shared" si="16"/>
        <v>6.255051331167772</v>
      </c>
      <c r="S42" s="51">
        <f t="shared" si="16"/>
        <v>6.255051331167772</v>
      </c>
      <c r="T42" s="51">
        <f t="shared" si="16"/>
        <v>6.255051331167772</v>
      </c>
      <c r="U42" s="42">
        <f>T42</f>
        <v>6.255051331167772</v>
      </c>
    </row>
    <row r="43" spans="2:20" ht="12.75">
      <c r="B43" s="11" t="s">
        <v>69</v>
      </c>
      <c r="C43" s="11"/>
      <c r="D43" s="18">
        <f>(Input_external!H7/Input_external!G7-1)*100</f>
        <v>0.03679668829805749</v>
      </c>
      <c r="E43" s="18">
        <f>(Input_external!I7/Input_external!H7-1)*100</f>
        <v>30.09041858828656</v>
      </c>
      <c r="F43" s="18">
        <f>(Input_external!J7/Input_external!I7-1)*100</f>
        <v>30.88812139838646</v>
      </c>
      <c r="G43" s="18">
        <f>(Input_external!K7/Input_external!J7-1)*100</f>
        <v>43.351173568861334</v>
      </c>
      <c r="H43" s="18">
        <f>(Input_external!L7/Input_external!K7-1)*100</f>
        <v>17.362817362817353</v>
      </c>
      <c r="I43" s="18">
        <f>(Input_external!M7/Input_external!L7-1)*100</f>
        <v>10.746685275645484</v>
      </c>
      <c r="J43" s="18">
        <f>(Input_external!N7/Input_external!M7-1)*100</f>
        <v>29.304024889729053</v>
      </c>
      <c r="K43" s="42">
        <f>(Input_external!O7/Input_external!N7-1)*100</f>
        <v>-41.31420583964647</v>
      </c>
      <c r="L43" s="42">
        <f>(Input_external!P7/Input_external!O7-1)*100</f>
        <v>25.970139332677444</v>
      </c>
      <c r="M43" s="42">
        <f>(Input_external!Q7/Input_external!P7-1)*100</f>
        <v>26.57877107911211</v>
      </c>
      <c r="O43" s="42">
        <f>(Input_external!R7/Input_external!Q7-1)*100</f>
        <v>-8.314751312826118</v>
      </c>
      <c r="P43" s="42">
        <f>(Input_external!S7/Input_external!R7-1)*100</f>
        <v>-3.3885534213677904</v>
      </c>
      <c r="Q43" s="42">
        <f>(Input_external!T7/Input_external!S7-1)*100</f>
        <v>0.6925607957811497</v>
      </c>
      <c r="R43" s="42">
        <f>(Input_external!U7/Input_external!T7-1)*100</f>
        <v>-2.349152716427272</v>
      </c>
      <c r="S43" s="42">
        <f>(Input_external!V7/Input_external!U7-1)*100</f>
        <v>-0.4436811669179752</v>
      </c>
      <c r="T43" s="42">
        <f>(Input_external!W7/Input_external!V7-1)*100</f>
        <v>0.7579990791025448</v>
      </c>
    </row>
    <row r="44" spans="2:20" ht="12.75">
      <c r="B44" s="11" t="s">
        <v>70</v>
      </c>
      <c r="C44" s="11"/>
      <c r="D44" s="18">
        <f>(Input_external!H8/Input_external!G8-1)*100</f>
        <v>21.540010065425253</v>
      </c>
      <c r="E44" s="18">
        <f>(Input_external!I8/Input_external!H8-1)*100</f>
        <v>12.298136645962732</v>
      </c>
      <c r="F44" s="18">
        <f>(Input_external!J8/Input_external!I8-1)*100</f>
        <v>34.05850540806294</v>
      </c>
      <c r="G44" s="18">
        <f>(Input_external!K8/Input_external!J8-1)*100</f>
        <v>12.941230402493819</v>
      </c>
      <c r="H44" s="18">
        <f>(Input_external!L8/Input_external!K8-1)*100</f>
        <v>3.340504119819787</v>
      </c>
      <c r="I44" s="18">
        <f>(Input_external!M8/Input_external!L8-1)*100</f>
        <v>30.714846818538888</v>
      </c>
      <c r="J44" s="18">
        <f>(Input_external!N8/Input_external!M8-1)*100</f>
        <v>47.44591346153846</v>
      </c>
      <c r="K44" s="42">
        <f>(Input_external!O8/Input_external!N8-1)*100</f>
        <v>0.020379050336249982</v>
      </c>
      <c r="L44" s="42">
        <f>(Input_external!P8/Input_external!O8-1)*100</f>
        <v>3.4839262428687734</v>
      </c>
      <c r="M44" s="42">
        <f>(Input_external!Q8/Input_external!P8-1)*100</f>
        <v>11.325841860618159</v>
      </c>
      <c r="O44" s="42">
        <f>(Input_external!R8/Input_external!Q8-1)*100</f>
        <v>1.6240463094898239</v>
      </c>
      <c r="P44" s="42">
        <f>(Input_external!S8/Input_external!R8-1)*100</f>
        <v>1.3781896600373544</v>
      </c>
      <c r="Q44" s="42">
        <f>(Input_external!T8/Input_external!S8-1)*100</f>
        <v>0.22698804068845835</v>
      </c>
      <c r="R44" s="42">
        <f>(Input_external!U8/Input_external!T8-1)*100</f>
        <v>-1.3526992764481216</v>
      </c>
      <c r="S44" s="42">
        <f>(Input_external!V8/Input_external!U8-1)*100</f>
        <v>0.2609175789251905</v>
      </c>
      <c r="T44" s="42">
        <f>(Input_external!W8/Input_external!V8-1)*100</f>
        <v>2.1076190543933393</v>
      </c>
    </row>
    <row r="45" spans="2:3" ht="12.75">
      <c r="B45" s="11"/>
      <c r="C45" s="11"/>
    </row>
    <row r="46" spans="2:20" ht="12.75">
      <c r="B46" s="55" t="s">
        <v>180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4:9" ht="12.75">
      <c r="D47" s="1"/>
      <c r="E47" s="1"/>
      <c r="F47" s="28"/>
      <c r="G47" s="28"/>
      <c r="H47" s="28"/>
      <c r="I47" s="28"/>
    </row>
    <row r="48" spans="2:12" ht="12.75">
      <c r="B48" s="1" t="s">
        <v>56</v>
      </c>
      <c r="C48" s="16"/>
      <c r="J48" s="38" t="s">
        <v>57</v>
      </c>
      <c r="L48" s="38" t="s">
        <v>59</v>
      </c>
    </row>
    <row r="49" spans="10:12" ht="12.75">
      <c r="J49" s="20" t="s">
        <v>58</v>
      </c>
      <c r="L49" s="20" t="s">
        <v>60</v>
      </c>
    </row>
    <row r="50" spans="10:12" ht="12.75">
      <c r="J50" s="21"/>
      <c r="L50" s="21"/>
    </row>
    <row r="51" spans="2:12" ht="12.75">
      <c r="B51" t="s">
        <v>61</v>
      </c>
      <c r="J51" s="42">
        <f>-Table!O45</f>
        <v>-15.344347784252289</v>
      </c>
      <c r="L51" s="42">
        <f>Table!Q45</f>
        <v>7.968785501420509</v>
      </c>
    </row>
    <row r="52" spans="2:12" ht="12.75">
      <c r="B52" t="s">
        <v>62</v>
      </c>
      <c r="J52" s="42">
        <f>Table!O46</f>
        <v>1.22504412569226</v>
      </c>
      <c r="L52" s="19" t="s">
        <v>71</v>
      </c>
    </row>
    <row r="53" spans="2:14" ht="12.75">
      <c r="B53" t="s">
        <v>63</v>
      </c>
      <c r="J53" s="42">
        <f>Table!O42</f>
        <v>6.255051331167772</v>
      </c>
      <c r="K53" s="40"/>
      <c r="L53" s="42">
        <f>Table!Q42</f>
        <v>3.8399479075665797</v>
      </c>
      <c r="M53" s="40"/>
      <c r="N53" s="40"/>
    </row>
    <row r="54" spans="2:12" ht="12.75">
      <c r="B54" t="s">
        <v>44</v>
      </c>
      <c r="D54" s="1"/>
      <c r="E54" s="1"/>
      <c r="F54" s="28"/>
      <c r="G54" s="28"/>
      <c r="H54" s="28"/>
      <c r="I54" s="28"/>
      <c r="J54" s="42">
        <f>Table!O38</f>
        <v>3.7496090587012603</v>
      </c>
      <c r="L54" s="42">
        <f>Table!Q38</f>
        <v>1.6250931000133242</v>
      </c>
    </row>
    <row r="55" spans="2:12" ht="12.75">
      <c r="B55" s="36" t="s">
        <v>65</v>
      </c>
      <c r="J55" s="42">
        <f>Table!O41</f>
        <v>9.961020467032732</v>
      </c>
      <c r="L55" s="42">
        <f>Table!Q41</f>
        <v>12.90494760066813</v>
      </c>
    </row>
    <row r="57" spans="2:20" ht="12.75">
      <c r="B57" s="3"/>
      <c r="C57" s="3"/>
      <c r="D57" s="3"/>
      <c r="E57" s="3"/>
      <c r="F57" s="38"/>
      <c r="G57" s="38"/>
      <c r="H57" s="38"/>
      <c r="I57" s="38"/>
      <c r="J57" s="38"/>
      <c r="K57" s="44"/>
      <c r="L57" s="44"/>
      <c r="M57" s="44"/>
      <c r="N57" s="44"/>
      <c r="O57" s="44"/>
      <c r="P57" s="44"/>
      <c r="Q57" s="44"/>
      <c r="R57" s="44"/>
      <c r="S57" s="44"/>
      <c r="T57" s="44"/>
    </row>
    <row r="58" spans="2:20" ht="12.75">
      <c r="B58" s="10" t="s">
        <v>92</v>
      </c>
      <c r="C58" s="5"/>
      <c r="D58" s="5"/>
      <c r="E58" s="5"/>
      <c r="F58" s="21"/>
      <c r="G58" s="21"/>
      <c r="H58" s="21"/>
      <c r="I58" s="21"/>
      <c r="J58" s="21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2:3" ht="12.75">
      <c r="B59" s="10" t="s">
        <v>93</v>
      </c>
      <c r="C59" s="10"/>
    </row>
    <row r="60" spans="2:3" ht="12.75">
      <c r="B60" s="10" t="s">
        <v>94</v>
      </c>
      <c r="C60" s="10"/>
    </row>
    <row r="61" spans="2:3" ht="12.75">
      <c r="B61" s="10" t="s">
        <v>95</v>
      </c>
      <c r="C61" s="10"/>
    </row>
    <row r="62" spans="2:3" ht="12.75">
      <c r="B62" s="10" t="s">
        <v>91</v>
      </c>
      <c r="C62" s="10"/>
    </row>
    <row r="63" spans="2:3" ht="12.75">
      <c r="B63" s="10"/>
      <c r="C63" s="10"/>
    </row>
    <row r="65" ht="12.75">
      <c r="B65" s="1" t="s">
        <v>83</v>
      </c>
    </row>
    <row r="66" spans="2:20" ht="12.75">
      <c r="B66" t="s">
        <v>74</v>
      </c>
      <c r="M66" s="42">
        <f aca="true" t="shared" si="17" ref="M66:T66">M12/100*M37</f>
        <v>5.0875934142973</v>
      </c>
      <c r="O66" s="42">
        <f t="shared" si="17"/>
        <v>4.884482602310538</v>
      </c>
      <c r="P66" s="42">
        <f t="shared" si="17"/>
        <v>-21.81116903985297</v>
      </c>
      <c r="Q66" s="42">
        <f t="shared" si="17"/>
        <v>-53.83432627954467</v>
      </c>
      <c r="R66" s="42">
        <f t="shared" si="17"/>
        <v>-93.41504940684977</v>
      </c>
      <c r="S66" s="42">
        <f t="shared" si="17"/>
        <v>-141.22990862079195</v>
      </c>
      <c r="T66" s="42">
        <f t="shared" si="17"/>
        <v>-196.90800113589657</v>
      </c>
    </row>
    <row r="67" spans="2:20" ht="12.75">
      <c r="B67" t="s">
        <v>79</v>
      </c>
      <c r="M67" s="42">
        <f>Input_external!Q28/100*'A1_historical'!M66</f>
        <v>0</v>
      </c>
      <c r="O67" s="42">
        <f>Input_external!R28/100*O66</f>
        <v>0</v>
      </c>
      <c r="P67" s="42">
        <f>Input_external!S28/100*P66</f>
        <v>0</v>
      </c>
      <c r="Q67" s="42">
        <f>Input_external!T28/100*Q66</f>
        <v>0</v>
      </c>
      <c r="R67" s="42">
        <f>Input_external!U28/100*R66</f>
        <v>0</v>
      </c>
      <c r="S67" s="42">
        <f>Input_external!V28/100*S66</f>
        <v>0</v>
      </c>
      <c r="T67" s="42">
        <f>Input_external!W28/100*T66</f>
        <v>0</v>
      </c>
    </row>
    <row r="68" spans="2:20" ht="12.75">
      <c r="B68" s="6" t="s">
        <v>80</v>
      </c>
      <c r="O68" s="42">
        <f>(O66-O67)/Input_external!R29</f>
        <v>0.846984113616254</v>
      </c>
      <c r="P68" s="42">
        <f>(P66-P67)/Input_external!S29</f>
        <v>-3.1752057417864985</v>
      </c>
      <c r="Q68" s="42">
        <f>(Q66-Q67)/Input_external!T29</f>
        <v>-6.591522462521976</v>
      </c>
      <c r="R68" s="42">
        <f>(R66-R67)/Input_external!U29</f>
        <v>-13.296016935613666</v>
      </c>
      <c r="S68" s="42">
        <f>(S66-S67)/Input_external!V29</f>
        <v>-18.335238244325986</v>
      </c>
      <c r="T68" s="42">
        <f>(T66-T67)/Input_external!W29</f>
        <v>-26.641707842133297</v>
      </c>
    </row>
    <row r="69" spans="2:20" ht="12.75">
      <c r="B69" s="6" t="s">
        <v>81</v>
      </c>
      <c r="O69" s="42">
        <f>O42/100*M66</f>
        <v>0.12503365943584716</v>
      </c>
      <c r="P69" s="42">
        <f>P42/100*O66</f>
        <v>0.30552689403648353</v>
      </c>
      <c r="Q69" s="42">
        <f>Q42/100*P66</f>
        <v>-1.3642998193705764</v>
      </c>
      <c r="R69" s="42">
        <f>R42/100*Q66</f>
        <v>-3.367364742573861</v>
      </c>
      <c r="S69" s="42">
        <f>S42/100*R66</f>
        <v>-5.84315929143419</v>
      </c>
      <c r="T69" s="42">
        <f>T42/100*S66</f>
        <v>-8.834003279191876</v>
      </c>
    </row>
    <row r="70" spans="2:20" ht="12.75">
      <c r="B70" t="s">
        <v>82</v>
      </c>
      <c r="O70" s="42">
        <f aca="true" t="shared" si="18" ref="O70:T70">O16/100*O37</f>
        <v>-10.933873627773293</v>
      </c>
      <c r="P70" s="42">
        <f t="shared" si="18"/>
        <v>-34.003637325928054</v>
      </c>
      <c r="Q70" s="42">
        <f t="shared" si="18"/>
        <v>-38.79275342111019</v>
      </c>
      <c r="R70" s="42">
        <f t="shared" si="18"/>
        <v>-44.256374797985934</v>
      </c>
      <c r="S70" s="42">
        <f t="shared" si="18"/>
        <v>-50.48949964953923</v>
      </c>
      <c r="T70" s="42">
        <f t="shared" si="18"/>
        <v>-57.60050583666048</v>
      </c>
    </row>
    <row r="71" spans="2:20" ht="12.75">
      <c r="B71" s="1" t="s">
        <v>33</v>
      </c>
      <c r="O71" s="42">
        <f>M67+O68+O69+O70</f>
        <v>-9.961855854721192</v>
      </c>
      <c r="P71" s="42">
        <f>O67+P68+P69+P70</f>
        <v>-36.87331617367807</v>
      </c>
      <c r="Q71" s="42">
        <f>P67+Q68+Q69+Q70</f>
        <v>-46.74857570300274</v>
      </c>
      <c r="R71" s="42">
        <f>Q67+R68+R69+R70</f>
        <v>-60.91975647617346</v>
      </c>
      <c r="S71" s="42">
        <f>R67+S68+S69+S70</f>
        <v>-74.66789718529941</v>
      </c>
      <c r="T71" s="42">
        <f>S67+T68+T69+T70</f>
        <v>-93.07621695798565</v>
      </c>
    </row>
  </sheetData>
  <sheetProtection/>
  <mergeCells count="4">
    <mergeCell ref="B3:T3"/>
    <mergeCell ref="B4:T4"/>
    <mergeCell ref="F7:M7"/>
    <mergeCell ref="C10:T10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3:U71"/>
  <sheetViews>
    <sheetView zoomScalePageLayoutView="0" workbookViewId="0" topLeftCell="A3">
      <pane xSplit="2" ySplit="6" topLeftCell="C9" activePane="bottomRight" state="frozen"/>
      <selection pane="topLeft" activeCell="J55" sqref="J55"/>
      <selection pane="topRight" activeCell="J55" sqref="J55"/>
      <selection pane="bottomLeft" activeCell="J55" sqref="J55"/>
      <selection pane="bottomRight" activeCell="B3" sqref="B3:T3"/>
    </sheetView>
  </sheetViews>
  <sheetFormatPr defaultColWidth="9.33203125" defaultRowHeight="12.75"/>
  <cols>
    <col min="1" max="1" width="4.5" style="0" customWidth="1"/>
    <col min="2" max="2" width="62.83203125" style="0" customWidth="1"/>
    <col min="3" max="3" width="8.83203125" style="0" customWidth="1"/>
    <col min="4" max="5" width="7" style="0" customWidth="1"/>
    <col min="6" max="6" width="7" style="18" customWidth="1"/>
    <col min="7" max="7" width="8.33203125" style="18" customWidth="1"/>
    <col min="8" max="8" width="7" style="18" customWidth="1"/>
    <col min="9" max="10" width="8.83203125" style="18" customWidth="1"/>
    <col min="11" max="13" width="8.83203125" style="42" customWidth="1"/>
    <col min="14" max="14" width="1.66796875" style="42" customWidth="1"/>
    <col min="15" max="20" width="8.83203125" style="42" customWidth="1"/>
  </cols>
  <sheetData>
    <row r="3" spans="2:20" ht="14.25">
      <c r="B3" s="139" t="s">
        <v>125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2:20" ht="15">
      <c r="B4" s="132" t="s">
        <v>27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0:20" ht="8.25" customHeight="1">
      <c r="J5" s="28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20" ht="5.25" customHeight="1">
      <c r="B6" s="2"/>
      <c r="C6" s="2"/>
      <c r="D6" s="2"/>
      <c r="E6" s="2"/>
      <c r="F6" s="29"/>
      <c r="G6" s="29"/>
      <c r="H6" s="29"/>
      <c r="I6" s="29"/>
      <c r="J6" s="29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2:20" ht="12.75">
      <c r="B7" s="17"/>
      <c r="C7" s="17"/>
      <c r="D7" s="17"/>
      <c r="E7" s="17"/>
      <c r="F7" s="130" t="s">
        <v>24</v>
      </c>
      <c r="G7" s="130"/>
      <c r="H7" s="130"/>
      <c r="I7" s="130"/>
      <c r="J7" s="130"/>
      <c r="K7" s="130"/>
      <c r="L7" s="130"/>
      <c r="M7" s="130"/>
      <c r="N7" s="53"/>
      <c r="O7" s="54" t="s">
        <v>21</v>
      </c>
      <c r="P7" s="54"/>
      <c r="Q7" s="54"/>
      <c r="R7" s="54"/>
      <c r="S7" s="54"/>
      <c r="T7" s="54"/>
    </row>
    <row r="8" spans="2:20" ht="12.75">
      <c r="B8" s="4"/>
      <c r="C8" s="64">
        <f>Table!C8</f>
        <v>2004</v>
      </c>
      <c r="D8" s="64">
        <f>Table!D8</f>
        <v>2005</v>
      </c>
      <c r="E8" s="64">
        <f>Table!E8</f>
        <v>2006</v>
      </c>
      <c r="F8" s="64">
        <f>Table!F8</f>
        <v>2007</v>
      </c>
      <c r="G8" s="64">
        <f>Table!G8</f>
        <v>2008</v>
      </c>
      <c r="H8" s="64">
        <f>Table!H8</f>
        <v>2009</v>
      </c>
      <c r="I8" s="64">
        <f>Table!I8</f>
        <v>2010</v>
      </c>
      <c r="J8" s="64">
        <f>Table!J8</f>
        <v>2011</v>
      </c>
      <c r="K8" s="64">
        <f>Table!K8</f>
        <v>2012</v>
      </c>
      <c r="L8" s="64">
        <f>Table!L8</f>
        <v>2013</v>
      </c>
      <c r="M8" s="64">
        <f>Table!M8</f>
        <v>2014</v>
      </c>
      <c r="N8" s="33"/>
      <c r="O8" s="64" t="str">
        <f>Table!S8</f>
        <v>2015</v>
      </c>
      <c r="P8" s="64">
        <f>Table!T8</f>
        <v>2016</v>
      </c>
      <c r="Q8" s="64">
        <f>Table!U8</f>
        <v>2017</v>
      </c>
      <c r="R8" s="64">
        <f>Table!V8</f>
        <v>2018</v>
      </c>
      <c r="S8" s="64">
        <f>Table!W8</f>
        <v>2019</v>
      </c>
      <c r="T8" s="64">
        <f>Table!X8</f>
        <v>2020</v>
      </c>
    </row>
    <row r="9" spans="2:21" ht="12.75">
      <c r="B9" s="5"/>
      <c r="C9" s="5"/>
      <c r="D9" s="23"/>
      <c r="E9" s="23"/>
      <c r="F9" s="21"/>
      <c r="G9" s="21"/>
      <c r="H9" s="21"/>
      <c r="I9" s="21"/>
      <c r="J9" s="21"/>
      <c r="K9" s="43"/>
      <c r="L9" s="43"/>
      <c r="M9" s="43"/>
      <c r="N9" s="43"/>
      <c r="O9" s="43"/>
      <c r="P9" s="43"/>
      <c r="Q9" s="43"/>
      <c r="R9" s="43"/>
      <c r="S9" s="43"/>
      <c r="T9" s="43"/>
      <c r="U9" s="61" t="s">
        <v>113</v>
      </c>
    </row>
    <row r="10" spans="3:21" ht="12.75">
      <c r="C10" s="131" t="s">
        <v>73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61" t="s">
        <v>114</v>
      </c>
    </row>
    <row r="11" spans="2:21" ht="12.75">
      <c r="B11" s="5"/>
      <c r="C11" s="5"/>
      <c r="D11" s="21"/>
      <c r="E11" s="21"/>
      <c r="F11" s="21"/>
      <c r="G11" s="21"/>
      <c r="H11" s="21"/>
      <c r="I11" s="21"/>
      <c r="J11" s="21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61" t="s">
        <v>146</v>
      </c>
    </row>
    <row r="12" spans="1:20" ht="12.75">
      <c r="A12">
        <f>A30+1</f>
        <v>1</v>
      </c>
      <c r="B12" t="s">
        <v>1</v>
      </c>
      <c r="C12" s="18">
        <f>Input_external!G4/Table!C37*100</f>
        <v>41.467145679070754</v>
      </c>
      <c r="D12" s="18">
        <f>Input_external!H4/Table!D37*100</f>
        <v>39.890279910674806</v>
      </c>
      <c r="E12" s="18">
        <f>Input_external!I4/Table!E37*100</f>
        <v>34.41184194543343</v>
      </c>
      <c r="F12" s="18">
        <f>Input_external!J4/Table!F37*100</f>
        <v>25.56845863291222</v>
      </c>
      <c r="G12" s="18">
        <f>Input_external!K4/Table!G37*100</f>
        <v>16.655644043400844</v>
      </c>
      <c r="H12" s="18">
        <f>Input_external!L4/Table!H37*100</f>
        <v>4.78478995297671</v>
      </c>
      <c r="I12" s="18">
        <f>Input_external!M4/Table!I37*100</f>
        <v>4.314859534503879</v>
      </c>
      <c r="J12" s="18">
        <f>Input_external!N4/Table!J37*100</f>
        <v>3.4481060927535223</v>
      </c>
      <c r="K12" s="18">
        <f>Input_external!O4/Table!K37*100</f>
        <v>4.122122200101253</v>
      </c>
      <c r="L12" s="18">
        <f>Input_external!P4/Table!L37*100</f>
        <v>3.533196087813501</v>
      </c>
      <c r="M12" s="18">
        <f>Input_external!Q4/Table!M37*100</f>
        <v>2.6753682908552867</v>
      </c>
      <c r="N12" s="18"/>
      <c r="O12" s="28">
        <f>M12+O14</f>
        <v>2.514588096821696</v>
      </c>
      <c r="P12" s="28">
        <f>O12+P14</f>
        <v>2.4621394146635907</v>
      </c>
      <c r="Q12" s="28">
        <f>P12+Q14</f>
        <v>2.3988657791560315</v>
      </c>
      <c r="R12" s="28">
        <f>Q12+R14</f>
        <v>2.3267360705535194</v>
      </c>
      <c r="S12" s="28">
        <f>R12+S14</f>
        <v>2.263041144210695</v>
      </c>
      <c r="T12" s="28">
        <f>S12+T14</f>
        <v>2.1799815522750605</v>
      </c>
    </row>
    <row r="13" spans="3:20" ht="12.75">
      <c r="C13" s="18"/>
      <c r="D13" s="18"/>
      <c r="E13" s="18"/>
      <c r="K13" s="18"/>
      <c r="L13" s="18"/>
      <c r="M13" s="18"/>
      <c r="N13" s="18"/>
      <c r="O13" s="28"/>
      <c r="P13" s="28"/>
      <c r="Q13" s="28"/>
      <c r="R13" s="28"/>
      <c r="S13" s="28"/>
      <c r="T13" s="28"/>
    </row>
    <row r="14" spans="1:21" ht="12.75">
      <c r="A14">
        <f>A12+1</f>
        <v>2</v>
      </c>
      <c r="B14" t="s">
        <v>29</v>
      </c>
      <c r="C14" s="18"/>
      <c r="D14" s="18">
        <f>(D12-C12)</f>
        <v>-1.5768657683959475</v>
      </c>
      <c r="E14" s="18">
        <f>(E12-D12)</f>
        <v>-5.478437965241376</v>
      </c>
      <c r="F14" s="18">
        <f aca="true" t="shared" si="0" ref="F14:M14">(F12-E12)</f>
        <v>-8.843383312521212</v>
      </c>
      <c r="G14" s="18">
        <f t="shared" si="0"/>
        <v>-8.912814589511374</v>
      </c>
      <c r="H14" s="18">
        <f t="shared" si="0"/>
        <v>-11.870854090424135</v>
      </c>
      <c r="I14" s="18">
        <f t="shared" si="0"/>
        <v>-0.46993041847283124</v>
      </c>
      <c r="J14" s="18">
        <f t="shared" si="0"/>
        <v>-0.8667534417503564</v>
      </c>
      <c r="K14" s="18">
        <f t="shared" si="0"/>
        <v>0.6740161073477307</v>
      </c>
      <c r="L14" s="18">
        <f t="shared" si="0"/>
        <v>-0.5889261122877518</v>
      </c>
      <c r="M14" s="18">
        <f t="shared" si="0"/>
        <v>-0.8578277969582144</v>
      </c>
      <c r="N14" s="18"/>
      <c r="O14" s="18">
        <f aca="true" t="shared" si="1" ref="O14:T14">O15+O28</f>
        <v>-0.1607801940335909</v>
      </c>
      <c r="P14" s="18">
        <f t="shared" si="1"/>
        <v>-0.052448682158105164</v>
      </c>
      <c r="Q14" s="18">
        <f t="shared" si="1"/>
        <v>-0.06327363550755916</v>
      </c>
      <c r="R14" s="18">
        <f t="shared" si="1"/>
        <v>-0.07212970860251211</v>
      </c>
      <c r="S14" s="18">
        <f t="shared" si="1"/>
        <v>-0.06369492634282459</v>
      </c>
      <c r="T14" s="18">
        <f t="shared" si="1"/>
        <v>-0.08305959193563428</v>
      </c>
      <c r="U14" s="62">
        <f>U15+U28</f>
        <v>4.85722573273506E-17</v>
      </c>
    </row>
    <row r="15" spans="1:21" ht="12.75">
      <c r="A15">
        <f aca="true" t="shared" si="2" ref="A15:A26">A14+1</f>
        <v>3</v>
      </c>
      <c r="B15" t="s">
        <v>39</v>
      </c>
      <c r="C15" s="18"/>
      <c r="D15" s="18">
        <f>D16+D20+D23</f>
        <v>-10.861741555607416</v>
      </c>
      <c r="E15" s="18">
        <f>E16+E20+E23</f>
        <v>-20.418857295820366</v>
      </c>
      <c r="F15" s="18">
        <f>F16+F20+F23</f>
        <v>-20.799872301568897</v>
      </c>
      <c r="G15" s="18">
        <f aca="true" t="shared" si="3" ref="G15:U15">G16+G20+G23</f>
        <v>-25.977293078370288</v>
      </c>
      <c r="H15" s="18">
        <f t="shared" si="3"/>
        <v>-28.181087839612378</v>
      </c>
      <c r="I15" s="18">
        <f t="shared" si="3"/>
        <v>-24.41051344054414</v>
      </c>
      <c r="J15" s="18">
        <f t="shared" si="3"/>
        <v>-22.453490315061558</v>
      </c>
      <c r="K15" s="18">
        <f t="shared" si="3"/>
        <v>-1.2950664132288616</v>
      </c>
      <c r="L15" s="18">
        <f t="shared" si="3"/>
        <v>-9.31160417432428</v>
      </c>
      <c r="M15" s="18">
        <f t="shared" si="3"/>
        <v>-11.759602360374313</v>
      </c>
      <c r="N15" s="18"/>
      <c r="O15" s="18">
        <f t="shared" si="3"/>
        <v>-6.469334746717485</v>
      </c>
      <c r="P15" s="18">
        <f t="shared" si="3"/>
        <v>-4.690642214140786</v>
      </c>
      <c r="Q15" s="18">
        <f t="shared" si="3"/>
        <v>-5.038069291478524</v>
      </c>
      <c r="R15" s="18">
        <f t="shared" si="3"/>
        <v>-4.875759636160876</v>
      </c>
      <c r="S15" s="18">
        <f t="shared" si="3"/>
        <v>-4.9048870180406325</v>
      </c>
      <c r="T15" s="18">
        <f t="shared" si="3"/>
        <v>-5.589617865857579</v>
      </c>
      <c r="U15" s="18">
        <f t="shared" si="3"/>
        <v>4.85722573273506E-17</v>
      </c>
    </row>
    <row r="16" spans="1:21" s="25" customFormat="1" ht="12.75">
      <c r="A16">
        <f t="shared" si="2"/>
        <v>4</v>
      </c>
      <c r="B16" s="27" t="s">
        <v>40</v>
      </c>
      <c r="C16" s="18"/>
      <c r="D16" s="18">
        <f>Input_external!H26/Table!D37*100</f>
        <v>-11.85531648987353</v>
      </c>
      <c r="E16" s="18">
        <f>Input_external!I26/Table!E37*100</f>
        <v>-16.043957123545873</v>
      </c>
      <c r="F16" s="18">
        <f>Input_external!J26/Table!F37*100</f>
        <v>-15.356985015745572</v>
      </c>
      <c r="G16" s="18">
        <f>Input_external!K26/Table!G37*100</f>
        <v>-22.10128010482221</v>
      </c>
      <c r="H16" s="18">
        <f>Input_external!L26/Table!H37*100</f>
        <v>-26.5243790871535</v>
      </c>
      <c r="I16" s="18">
        <f>Input_external!M26/Table!I37*100</f>
        <v>-22.955499473469303</v>
      </c>
      <c r="J16" s="18">
        <f>Input_external!N26/Table!J37*100</f>
        <v>-20.173950961975272</v>
      </c>
      <c r="K16" s="18">
        <f>Input_external!O26/Table!K37*100</f>
        <v>-0.4208268083538204</v>
      </c>
      <c r="L16" s="18">
        <f>Input_external!P26/Table!L37*100</f>
        <v>-7.613319237580539</v>
      </c>
      <c r="M16" s="18">
        <f>Input_external!Q26/Table!M37*100</f>
        <v>-10.397963540003312</v>
      </c>
      <c r="N16" s="18"/>
      <c r="O16" s="18">
        <f>Input_external!R26/Table!S37*100</f>
        <v>-5.628884513488823</v>
      </c>
      <c r="P16" s="18">
        <f>Input_external!S26/Table!T37*100</f>
        <v>-3.7382996960749435</v>
      </c>
      <c r="Q16" s="18">
        <f>Input_external!T26/Table!U37*100</f>
        <v>-4.095450899101573</v>
      </c>
      <c r="R16" s="18">
        <f>Input_external!U26/Table!V37*100</f>
        <v>-3.9974138665881767</v>
      </c>
      <c r="S16" s="18">
        <f>Input_external!V26/Table!W37*100</f>
        <v>-4.045665893725947</v>
      </c>
      <c r="T16" s="18">
        <f>Input_external!W26/Table!X37*100</f>
        <v>-4.71240026515964</v>
      </c>
      <c r="U16" s="28">
        <f>-(U20+U23)</f>
        <v>0.8768728743002627</v>
      </c>
    </row>
    <row r="17" spans="1:21" ht="12.75">
      <c r="A17">
        <f t="shared" si="2"/>
        <v>5</v>
      </c>
      <c r="B17" s="9" t="s">
        <v>66</v>
      </c>
      <c r="C17" s="42"/>
      <c r="D17" s="42">
        <f>D19-D18</f>
        <v>-9.723559635712395</v>
      </c>
      <c r="E17" s="42">
        <f>E19-E18</f>
        <v>-14.378851360356414</v>
      </c>
      <c r="F17" s="42">
        <f>F19-F18</f>
        <v>-14.361009128390478</v>
      </c>
      <c r="G17" s="42">
        <f aca="true" t="shared" si="4" ref="G17:T17">G19-G18</f>
        <v>-23.44791488962486</v>
      </c>
      <c r="H17" s="42">
        <f t="shared" si="4"/>
        <v>-27.163828920498567</v>
      </c>
      <c r="I17" s="42">
        <f t="shared" si="4"/>
        <v>-22.486412069373102</v>
      </c>
      <c r="J17" s="42">
        <f t="shared" si="4"/>
        <v>-19.224717229296974</v>
      </c>
      <c r="K17" s="42">
        <f t="shared" si="4"/>
        <v>0.6591678598914399</v>
      </c>
      <c r="L17" s="42">
        <f t="shared" si="4"/>
        <v>-6.151688824447941</v>
      </c>
      <c r="M17" s="42">
        <f t="shared" si="4"/>
        <v>-10.657318407381744</v>
      </c>
      <c r="O17" s="42">
        <f t="shared" si="4"/>
        <v>-6.516428195806682</v>
      </c>
      <c r="P17" s="42">
        <f t="shared" si="4"/>
        <v>-4.659491415029947</v>
      </c>
      <c r="Q17" s="42">
        <f t="shared" si="4"/>
        <v>-4.5175079764224755</v>
      </c>
      <c r="R17" s="42">
        <f t="shared" si="4"/>
        <v>-3.932055662603137</v>
      </c>
      <c r="S17" s="42">
        <f t="shared" si="4"/>
        <v>-3.522798361932427</v>
      </c>
      <c r="T17" s="42">
        <f t="shared" si="4"/>
        <v>-3.038259989388113</v>
      </c>
      <c r="U17" s="42"/>
    </row>
    <row r="18" spans="1:21" ht="12.75">
      <c r="A18">
        <f t="shared" si="2"/>
        <v>6</v>
      </c>
      <c r="B18" s="34" t="s">
        <v>67</v>
      </c>
      <c r="C18" s="18">
        <f>Input_external!G7/Table!C37*100</f>
        <v>36.53660871519481</v>
      </c>
      <c r="D18" s="18">
        <f>Input_external!H7/Table!D37*100</f>
        <v>35.25178840992306</v>
      </c>
      <c r="E18" s="18">
        <f>Input_external!I7/Table!E37*100</f>
        <v>38.35637435028463</v>
      </c>
      <c r="F18" s="18">
        <f>Input_external!J7/Table!F37*100</f>
        <v>39.92126560693624</v>
      </c>
      <c r="G18" s="18">
        <f>Input_external!K7/Table!G37*100</f>
        <v>47.31628984874926</v>
      </c>
      <c r="H18" s="18">
        <f>Input_external!L7/Table!H37*100</f>
        <v>48.87101926311921</v>
      </c>
      <c r="I18" s="18">
        <f>Input_external!M7/Table!I37*100</f>
        <v>47.266140336549824</v>
      </c>
      <c r="J18" s="18">
        <f>Input_external!N7/Table!J37*100</f>
        <v>47.800729046796604</v>
      </c>
      <c r="K18" s="18">
        <f>Input_external!O7/Table!K37*100</f>
        <v>34.91542161492573</v>
      </c>
      <c r="L18" s="18">
        <f>Input_external!P7/Table!L37*100</f>
        <v>37.74150950440462</v>
      </c>
      <c r="M18" s="18">
        <f>Input_external!Q7/Table!M37*100</f>
        <v>40.390721510732135</v>
      </c>
      <c r="N18" s="18"/>
      <c r="O18" s="18">
        <f>Table!S18</f>
        <v>35.404476074610706</v>
      </c>
      <c r="P18" s="18">
        <f>Table!T18</f>
        <v>32.402914470521324</v>
      </c>
      <c r="Q18" s="18">
        <f>Table!U18</f>
        <v>30.573828775996954</v>
      </c>
      <c r="R18" s="18">
        <f>Table!V18</f>
        <v>28.275790578268996</v>
      </c>
      <c r="S18" s="18">
        <f>Table!W18</f>
        <v>26.49364867696555</v>
      </c>
      <c r="T18" s="18">
        <f>Table!X18</f>
        <v>25.03633053162295</v>
      </c>
      <c r="U18" s="18"/>
    </row>
    <row r="19" spans="1:21" ht="12.75">
      <c r="A19">
        <f t="shared" si="2"/>
        <v>7</v>
      </c>
      <c r="B19" s="34" t="s">
        <v>68</v>
      </c>
      <c r="C19" s="18"/>
      <c r="D19" s="18">
        <f>-Input_external!H8/Table!D37*100</f>
        <v>25.528228774210664</v>
      </c>
      <c r="E19" s="18">
        <f>-Input_external!I8/Table!E37*100</f>
        <v>23.977522989928218</v>
      </c>
      <c r="F19" s="18">
        <f>-Input_external!J8/Table!F37*100</f>
        <v>25.56025647854576</v>
      </c>
      <c r="G19" s="18">
        <f>-Input_external!K8/Table!G37*100</f>
        <v>23.868374959124395</v>
      </c>
      <c r="H19" s="18">
        <f>-Input_external!L8/Table!H37*100</f>
        <v>21.707190342620642</v>
      </c>
      <c r="I19" s="18">
        <f>-Input_external!M8/Table!I37*100</f>
        <v>24.779728267176722</v>
      </c>
      <c r="J19" s="18">
        <f>-Input_external!N8/Table!J37*100</f>
        <v>28.57601181749963</v>
      </c>
      <c r="K19" s="18">
        <f>-Input_external!O8/Table!K37*100</f>
        <v>35.57458947481717</v>
      </c>
      <c r="L19" s="18">
        <f>-Input_external!P8/Table!L37*100</f>
        <v>31.589820679956677</v>
      </c>
      <c r="M19" s="18">
        <f>-Input_external!Q8/Table!M37*100</f>
        <v>29.73340310335039</v>
      </c>
      <c r="N19" s="18"/>
      <c r="O19" s="18">
        <f>Table!S19</f>
        <v>28.888047878804024</v>
      </c>
      <c r="P19" s="18">
        <f>Table!T19</f>
        <v>27.743423055491377</v>
      </c>
      <c r="Q19" s="18">
        <f>Table!U19</f>
        <v>26.05632079957448</v>
      </c>
      <c r="R19" s="18">
        <f>Table!V19</f>
        <v>24.34373491566586</v>
      </c>
      <c r="S19" s="18">
        <f>Table!W19</f>
        <v>22.970850315033122</v>
      </c>
      <c r="T19" s="18">
        <f>Table!X19</f>
        <v>21.99807054223484</v>
      </c>
      <c r="U19" s="18"/>
    </row>
    <row r="20" spans="1:21" ht="12.75">
      <c r="A20">
        <f t="shared" si="2"/>
        <v>8</v>
      </c>
      <c r="B20" s="15" t="s">
        <v>26</v>
      </c>
      <c r="C20" s="18"/>
      <c r="D20" s="18">
        <f>-(D21+D22)</f>
        <v>-1.7089290483771113</v>
      </c>
      <c r="E20" s="18">
        <f>-(E21+E22)</f>
        <v>-0.913597852369438</v>
      </c>
      <c r="F20" s="18">
        <f>-(F21+F22)</f>
        <v>-0.726476529600182</v>
      </c>
      <c r="G20" s="18">
        <f aca="true" t="shared" si="5" ref="G20:T20">-(G21+G22)</f>
        <v>-1.0269301236624533</v>
      </c>
      <c r="H20" s="18">
        <f t="shared" si="5"/>
        <v>-1.5005756089164308</v>
      </c>
      <c r="I20" s="18">
        <f t="shared" si="5"/>
        <v>-1.0200789581139456</v>
      </c>
      <c r="J20" s="18">
        <f t="shared" si="5"/>
        <v>-1.4500564382631769</v>
      </c>
      <c r="K20" s="18">
        <f t="shared" si="5"/>
        <v>-1.8410647364717936</v>
      </c>
      <c r="L20" s="18">
        <f t="shared" si="5"/>
        <v>-1.1817437382774247</v>
      </c>
      <c r="M20" s="18">
        <f t="shared" si="5"/>
        <v>-0.8809882228706428</v>
      </c>
      <c r="N20" s="18"/>
      <c r="O20" s="18">
        <f t="shared" si="5"/>
        <v>-0.8439007951753188</v>
      </c>
      <c r="P20" s="18">
        <f t="shared" si="5"/>
        <v>-0.9677358558458236</v>
      </c>
      <c r="Q20" s="18">
        <f t="shared" si="5"/>
        <v>-0.9240912147629262</v>
      </c>
      <c r="R20" s="18">
        <f t="shared" si="5"/>
        <v>-0.8935420334131181</v>
      </c>
      <c r="S20" s="18">
        <f t="shared" si="5"/>
        <v>-0.8585705162336255</v>
      </c>
      <c r="T20" s="18">
        <f t="shared" si="5"/>
        <v>-0.867825187332338</v>
      </c>
      <c r="U20" s="18">
        <f>T20</f>
        <v>-0.867825187332338</v>
      </c>
    </row>
    <row r="21" spans="1:21" ht="12.75">
      <c r="A21">
        <f t="shared" si="2"/>
        <v>9</v>
      </c>
      <c r="B21" s="9" t="s">
        <v>41</v>
      </c>
      <c r="C21" s="18"/>
      <c r="D21" s="18">
        <f>Input_external!H9/Table!D$37*100</f>
        <v>1.7089290483771113</v>
      </c>
      <c r="E21" s="18">
        <f>Input_external!I9/Table!E$37*100</f>
        <v>0.913597852369438</v>
      </c>
      <c r="F21" s="18">
        <f>Input_external!J9/Table!F$37*100</f>
        <v>0.726476529600182</v>
      </c>
      <c r="G21" s="18">
        <f>Input_external!K9/Table!G$37*100</f>
        <v>1.0269301236624533</v>
      </c>
      <c r="H21" s="18">
        <f>Input_external!L9/Table!H$37*100</f>
        <v>1.5005756089164308</v>
      </c>
      <c r="I21" s="18">
        <f>Input_external!M9/Table!I$37*100</f>
        <v>1.0200789581139456</v>
      </c>
      <c r="J21" s="18">
        <f>Input_external!N9/Table!J$37*100</f>
        <v>1.4500564382631769</v>
      </c>
      <c r="K21" s="18">
        <f>Input_external!O9/Table!K$37*100</f>
        <v>1.8410647364717936</v>
      </c>
      <c r="L21" s="18">
        <f>Input_external!P9/Table!L$37*100</f>
        <v>1.1817437382774247</v>
      </c>
      <c r="M21" s="18">
        <f>Input_external!Q9/Table!M$37*100</f>
        <v>0.8809882228706428</v>
      </c>
      <c r="N21" s="18"/>
      <c r="O21" s="18">
        <f>Input_external!R9/Table!S$37*100</f>
        <v>0.8439007951753188</v>
      </c>
      <c r="P21" s="18">
        <f>Input_external!S9/Table!T$37*100</f>
        <v>0.9677358558458236</v>
      </c>
      <c r="Q21" s="18">
        <f>Input_external!T9/Table!U$37*100</f>
        <v>0.9240912147629262</v>
      </c>
      <c r="R21" s="18">
        <f>Input_external!U9/Table!V$37*100</f>
        <v>0.8935420334131181</v>
      </c>
      <c r="S21" s="18">
        <f>Input_external!V9/Table!W$37*100</f>
        <v>0.8585705162336255</v>
      </c>
      <c r="T21" s="18">
        <f>Input_external!W9/Table!X$37*100</f>
        <v>0.867825187332338</v>
      </c>
      <c r="U21" s="18"/>
    </row>
    <row r="22" spans="1:21" ht="12.75">
      <c r="A22">
        <f t="shared" si="2"/>
        <v>10</v>
      </c>
      <c r="B22" s="8" t="s">
        <v>42</v>
      </c>
      <c r="C22" s="18"/>
      <c r="D22" s="18">
        <f>Input_external!H10/Table!D$37*100</f>
        <v>0</v>
      </c>
      <c r="E22" s="18">
        <f>Input_external!I10/Table!E$37*100</f>
        <v>0</v>
      </c>
      <c r="F22" s="18">
        <f>Input_external!J10/Table!F$37*100</f>
        <v>0</v>
      </c>
      <c r="G22" s="18">
        <f>Input_external!K10/Table!G$37*100</f>
        <v>0</v>
      </c>
      <c r="H22" s="18">
        <f>Input_external!L10/Table!H$37*100</f>
        <v>0</v>
      </c>
      <c r="I22" s="18">
        <f>Input_external!M10/Table!I$37*100</f>
        <v>0</v>
      </c>
      <c r="J22" s="18">
        <f>Input_external!N10/Table!J$37*100</f>
        <v>0</v>
      </c>
      <c r="K22" s="18">
        <f>Input_external!O10/Table!K$37*100</f>
        <v>0</v>
      </c>
      <c r="L22" s="18">
        <f>Input_external!P10/Table!L$37*100</f>
        <v>0</v>
      </c>
      <c r="M22" s="18">
        <f>Input_external!Q10/Table!M$37*100</f>
        <v>0</v>
      </c>
      <c r="N22" s="18"/>
      <c r="O22" s="18">
        <f>Input_external!R10/Table!S$37*100</f>
        <v>0</v>
      </c>
      <c r="P22" s="18">
        <f>Input_external!S10/Table!T$37*100</f>
        <v>0</v>
      </c>
      <c r="Q22" s="18">
        <f>Input_external!T10/Table!U$37*100</f>
        <v>0</v>
      </c>
      <c r="R22" s="18">
        <f>Input_external!U10/Table!V$37*100</f>
        <v>0</v>
      </c>
      <c r="S22" s="18">
        <f>Input_external!V10/Table!W$37*100</f>
        <v>0</v>
      </c>
      <c r="T22" s="18">
        <f>Input_external!W10/Table!X$37*100</f>
        <v>0</v>
      </c>
      <c r="U22" s="18"/>
    </row>
    <row r="23" spans="1:21" ht="12.75">
      <c r="A23">
        <f t="shared" si="2"/>
        <v>11</v>
      </c>
      <c r="B23" s="12" t="s">
        <v>30</v>
      </c>
      <c r="C23" s="18"/>
      <c r="D23" s="42">
        <f>D25+D26+D27</f>
        <v>2.7025039826432256</v>
      </c>
      <c r="E23" s="42">
        <f>E25+E26+E27</f>
        <v>-3.461302319905054</v>
      </c>
      <c r="F23" s="42">
        <f>F25+F26+F27</f>
        <v>-4.716410756223144</v>
      </c>
      <c r="G23" s="42">
        <f>G25+G26+G27</f>
        <v>-2.8490828498856278</v>
      </c>
      <c r="H23" s="42">
        <f aca="true" t="shared" si="6" ref="H23:U23">H25+H26+H27</f>
        <v>-0.15613314354244845</v>
      </c>
      <c r="I23" s="42">
        <f t="shared" si="6"/>
        <v>-0.4349350089608929</v>
      </c>
      <c r="J23" s="42">
        <f t="shared" si="6"/>
        <v>-0.8294829148231108</v>
      </c>
      <c r="K23" s="42">
        <f t="shared" si="6"/>
        <v>0.9668251315967523</v>
      </c>
      <c r="L23" s="42">
        <f t="shared" si="6"/>
        <v>-0.5165411984663174</v>
      </c>
      <c r="M23" s="42">
        <f t="shared" si="6"/>
        <v>-0.48065059750035705</v>
      </c>
      <c r="O23" s="42">
        <f t="shared" si="6"/>
        <v>0.003450561946657514</v>
      </c>
      <c r="P23" s="42">
        <f t="shared" si="6"/>
        <v>0.015393337779980728</v>
      </c>
      <c r="Q23" s="42">
        <f t="shared" si="6"/>
        <v>-0.01852717761402458</v>
      </c>
      <c r="R23" s="42">
        <f t="shared" si="6"/>
        <v>0.015196263840418466</v>
      </c>
      <c r="S23" s="42">
        <f t="shared" si="6"/>
        <v>-0.0006506080810592813</v>
      </c>
      <c r="T23" s="42">
        <f t="shared" si="6"/>
        <v>-0.009392413365601215</v>
      </c>
      <c r="U23" s="42">
        <f t="shared" si="6"/>
        <v>-0.009047686967924636</v>
      </c>
    </row>
    <row r="24" spans="1:21" ht="12.75" hidden="1">
      <c r="A24">
        <f t="shared" si="2"/>
        <v>12</v>
      </c>
      <c r="B24" s="13" t="s">
        <v>31</v>
      </c>
      <c r="C24" s="42"/>
      <c r="D24" s="42">
        <f aca="true" t="shared" si="7" ref="D24:U24">1+D38/100+D41/100+D38/100*D41/100</f>
        <v>1.0368283320039988</v>
      </c>
      <c r="E24" s="42">
        <f t="shared" si="7"/>
        <v>1.195608288821117</v>
      </c>
      <c r="F24" s="42">
        <f t="shared" si="7"/>
        <v>1.2575738033439823</v>
      </c>
      <c r="G24" s="42">
        <f t="shared" si="7"/>
        <v>1.2094693589463261</v>
      </c>
      <c r="H24" s="42">
        <f t="shared" si="7"/>
        <v>1.1362916443192785</v>
      </c>
      <c r="I24" s="42">
        <f t="shared" si="7"/>
        <v>1.145069885312269</v>
      </c>
      <c r="J24" s="42">
        <f t="shared" si="7"/>
        <v>1.278579282867286</v>
      </c>
      <c r="K24" s="42">
        <f t="shared" si="7"/>
        <v>0.8034340173500737</v>
      </c>
      <c r="L24" s="42">
        <f t="shared" si="7"/>
        <v>1.165374830908146</v>
      </c>
      <c r="M24" s="42">
        <f t="shared" si="7"/>
        <v>1.1827651780047568</v>
      </c>
      <c r="O24" s="42">
        <f t="shared" si="7"/>
        <v>1.021463589319304</v>
      </c>
      <c r="P24" s="42">
        <f t="shared" si="7"/>
        <v>1.033558136606027</v>
      </c>
      <c r="Q24" s="42">
        <f t="shared" si="7"/>
        <v>1.0484380230110855</v>
      </c>
      <c r="R24" s="42">
        <f t="shared" si="7"/>
        <v>1.0377509229309763</v>
      </c>
      <c r="S24" s="42">
        <f t="shared" si="7"/>
        <v>1.0446299709815485</v>
      </c>
      <c r="T24" s="42">
        <f t="shared" si="7"/>
        <v>1.0484064350459024</v>
      </c>
      <c r="U24" s="42">
        <f t="shared" si="7"/>
        <v>1.0484064350459024</v>
      </c>
    </row>
    <row r="25" spans="1:21" ht="12.75">
      <c r="A25">
        <v>12</v>
      </c>
      <c r="B25" s="8" t="s">
        <v>48</v>
      </c>
      <c r="C25" s="18"/>
      <c r="D25" s="18">
        <f aca="true" t="shared" si="8" ref="D25:T25">D42/100/D24*C12</f>
        <v>4.175424582117273</v>
      </c>
      <c r="E25" s="18">
        <f t="shared" si="8"/>
        <v>3.064973440207147</v>
      </c>
      <c r="F25" s="18">
        <f t="shared" si="8"/>
        <v>2.331755312748972</v>
      </c>
      <c r="G25" s="18">
        <f t="shared" si="8"/>
        <v>1.5791472656318855</v>
      </c>
      <c r="H25" s="18">
        <f t="shared" si="8"/>
        <v>1.841615520033802</v>
      </c>
      <c r="I25" s="18">
        <f t="shared" si="8"/>
        <v>0.17125413165416603</v>
      </c>
      <c r="J25" s="18">
        <f t="shared" si="8"/>
        <v>0.11064687681526249</v>
      </c>
      <c r="K25" s="18">
        <f t="shared" si="8"/>
        <v>0.12322086818905707</v>
      </c>
      <c r="L25" s="18">
        <f t="shared" si="8"/>
        <v>0.0684167427423772</v>
      </c>
      <c r="M25" s="18">
        <f t="shared" si="8"/>
        <v>0.06531171515774152</v>
      </c>
      <c r="N25" s="18"/>
      <c r="O25" s="18">
        <f>O42/100/O24*M12</f>
        <v>0.06436877297315226</v>
      </c>
      <c r="P25" s="18">
        <f t="shared" si="8"/>
        <v>0.10758709661755979</v>
      </c>
      <c r="Q25" s="18">
        <f t="shared" si="8"/>
        <v>0.10410285993769142</v>
      </c>
      <c r="R25" s="18">
        <f t="shared" si="8"/>
        <v>0.1114151048035433</v>
      </c>
      <c r="S25" s="18">
        <f t="shared" si="8"/>
        <v>0.1076638458199975</v>
      </c>
      <c r="T25" s="18">
        <f t="shared" si="8"/>
        <v>0.10407608979968581</v>
      </c>
      <c r="U25" s="18">
        <f>U42/100/U24*T12</f>
        <v>0.10025622219757319</v>
      </c>
    </row>
    <row r="26" spans="1:21" ht="12.75">
      <c r="A26">
        <f t="shared" si="2"/>
        <v>13</v>
      </c>
      <c r="B26" s="9" t="s">
        <v>32</v>
      </c>
      <c r="C26" s="18"/>
      <c r="D26" s="18">
        <f>-D38/100/D24*C12</f>
        <v>-1.8797285787410425</v>
      </c>
      <c r="E26" s="18">
        <f>-E38/100/E24*D12</f>
        <v>-2.3021162863888183</v>
      </c>
      <c r="F26" s="18">
        <f>-F38/100/F24*E12</f>
        <v>-1.422911145575965</v>
      </c>
      <c r="G26" s="18">
        <f>-G38/100/G24*F12</f>
        <v>-1.0781516543871474</v>
      </c>
      <c r="H26" s="18">
        <f aca="true" t="shared" si="9" ref="H26:U26">-H38/100/H24*G12</f>
        <v>-0.2931579075965019</v>
      </c>
      <c r="I26" s="18">
        <f t="shared" si="9"/>
        <v>-0.1253580243708515</v>
      </c>
      <c r="J26" s="18">
        <f t="shared" si="9"/>
        <v>-0.08099351382877072</v>
      </c>
      <c r="K26" s="18">
        <f t="shared" si="9"/>
        <v>-0.10467273085252374</v>
      </c>
      <c r="L26" s="18">
        <f t="shared" si="9"/>
        <v>-0.11625768034378085</v>
      </c>
      <c r="M26" s="18">
        <f t="shared" si="9"/>
        <v>-0.07379635513469245</v>
      </c>
      <c r="N26" s="18"/>
      <c r="O26" s="18">
        <f>-O38/100/O24*M12</f>
        <v>-0.08016254407766935</v>
      </c>
      <c r="P26" s="18">
        <f t="shared" si="9"/>
        <v>-0.08678337488583913</v>
      </c>
      <c r="Q26" s="18">
        <f t="shared" si="9"/>
        <v>-0.08242040704186036</v>
      </c>
      <c r="R26" s="18">
        <f t="shared" si="9"/>
        <v>-0.08217847083424054</v>
      </c>
      <c r="S26" s="18">
        <f t="shared" si="9"/>
        <v>-0.09490884973513572</v>
      </c>
      <c r="T26" s="18">
        <f t="shared" si="9"/>
        <v>-0.09347802313231111</v>
      </c>
      <c r="U26" s="18">
        <f t="shared" si="9"/>
        <v>-0.09004713259097827</v>
      </c>
    </row>
    <row r="27" spans="1:21" ht="12.75">
      <c r="A27">
        <f>A26+1</f>
        <v>14</v>
      </c>
      <c r="B27" s="9" t="s">
        <v>54</v>
      </c>
      <c r="C27" s="18"/>
      <c r="D27" s="18">
        <f>(-D41/100*(1+D38/100)+Input_external!H36/100*D39/100*(1+D42/100))/D24*C12</f>
        <v>0.4068079792669953</v>
      </c>
      <c r="E27" s="18">
        <f>(-E41/100*(1+E38/100)+Input_external!I36/100*E39/100*(1+E42/100))/E24*D12</f>
        <v>-4.2241594737233825</v>
      </c>
      <c r="F27" s="18">
        <f>(-F41/100*(1+F38/100)+Input_external!J36/100*F39/100*(1+F42/100))/F24*E12</f>
        <v>-5.6252549233961515</v>
      </c>
      <c r="G27" s="18">
        <f>(-G41/100*(1+G38/100)+Input_external!K36/100*G39/100*(1+G42/100))/G24*F12</f>
        <v>-3.350078461130366</v>
      </c>
      <c r="H27" s="18">
        <f>(-H41/100*(1+H38/100)+Input_external!L36/100*H39/100*(1+H42/100))/H24*G12</f>
        <v>-1.7045907559797486</v>
      </c>
      <c r="I27" s="18">
        <f>(-I41/100*(1+I38/100)+Input_external!M36/100*I39/100*(1+I42/100))/I24*H12</f>
        <v>-0.4808311162442074</v>
      </c>
      <c r="J27" s="18">
        <f>(-J41/100*(1+J38/100)+Input_external!N36/100*J39/100*(1+J42/100))/J24*I12</f>
        <v>-0.8591362778096026</v>
      </c>
      <c r="K27" s="18">
        <f>(-K41/100*(1+K38/100)+Input_external!O36/100*K39/100*(1+K42/100))/K24*J12</f>
        <v>0.9482769942602189</v>
      </c>
      <c r="L27" s="18">
        <f>(-L41/100*(1+L38/100)+Input_external!P36/100*L39/100*(1+L42/100))/L24*K12</f>
        <v>-0.4687002608649138</v>
      </c>
      <c r="M27" s="18">
        <f>(-M41/100*(1+M38/100)+Input_external!Q36/100*M39/100*(1+M42/100))/M24*L12</f>
        <v>-0.4721659575234061</v>
      </c>
      <c r="N27" s="18"/>
      <c r="O27" s="18">
        <f>(-O41/100*(1+O38/100)+Input_external!R36/100*O39/100*(1+O42/100))/O24*M12</f>
        <v>0.0192443330511746</v>
      </c>
      <c r="P27" s="18">
        <f>(-P41/100*(1+P38/100)+Input_external!S36/100*P39/100*(1+P42/100))/P24*O12</f>
        <v>-0.005410383951739926</v>
      </c>
      <c r="Q27" s="18">
        <f>(-Q41/100*(1+Q38/100)+Input_external!T36/100*Q39/100*(1+Q42/100))/Q24*P12</f>
        <v>-0.04020963050985563</v>
      </c>
      <c r="R27" s="18">
        <f>(-R41/100*(1+R38/100)+Input_external!U36/100*R39/100*(1+R42/100))/R24*Q12</f>
        <v>-0.014040370128884296</v>
      </c>
      <c r="S27" s="18">
        <f>(-S41/100*(1+S38/100)+Input_external!V36/100*S39/100*(1+S42/100))/S24*R12</f>
        <v>-0.013405604165921056</v>
      </c>
      <c r="T27" s="18">
        <f>(-T41/100*(1+T38/100)+Input_external!W36/100*T39/100*(1+T42/100))/T24*S12</f>
        <v>-0.019990480032975915</v>
      </c>
      <c r="U27" s="18">
        <f>(-U41/100*(1+U38/100)+Input_external!W36/100*U39/100*(1+U42/100))/U24*T12</f>
        <v>-0.019256776574519553</v>
      </c>
    </row>
    <row r="28" spans="1:21" ht="12.75">
      <c r="A28">
        <f>A26+1</f>
        <v>14</v>
      </c>
      <c r="B28" s="11" t="s">
        <v>43</v>
      </c>
      <c r="C28" s="18"/>
      <c r="D28" s="18">
        <f>D14-D15</f>
        <v>9.284875787211469</v>
      </c>
      <c r="E28" s="18">
        <f>E14-E15</f>
        <v>14.94041933057899</v>
      </c>
      <c r="F28" s="18">
        <f>F14-F15</f>
        <v>11.956488989047685</v>
      </c>
      <c r="G28" s="18">
        <f aca="true" t="shared" si="10" ref="G28:M28">G14-G15</f>
        <v>17.064478488858914</v>
      </c>
      <c r="H28" s="18">
        <f t="shared" si="10"/>
        <v>16.310233749188242</v>
      </c>
      <c r="I28" s="18">
        <f t="shared" si="10"/>
        <v>23.94058302207131</v>
      </c>
      <c r="J28" s="18">
        <f t="shared" si="10"/>
        <v>21.586736873311203</v>
      </c>
      <c r="K28" s="18">
        <f t="shared" si="10"/>
        <v>1.9690825205765923</v>
      </c>
      <c r="L28" s="18">
        <f t="shared" si="10"/>
        <v>8.722678062036529</v>
      </c>
      <c r="M28" s="18">
        <f t="shared" si="10"/>
        <v>10.901774563416097</v>
      </c>
      <c r="N28" s="18"/>
      <c r="O28" s="49">
        <f>Table!S28</f>
        <v>6.308554552683894</v>
      </c>
      <c r="P28" s="49">
        <f>Table!T28</f>
        <v>4.638193531982681</v>
      </c>
      <c r="Q28" s="49">
        <f>Table!U28</f>
        <v>4.974795655970965</v>
      </c>
      <c r="R28" s="49">
        <f>Table!V28</f>
        <v>4.803629927558364</v>
      </c>
      <c r="S28" s="49">
        <f>Table!W28</f>
        <v>4.841192091697808</v>
      </c>
      <c r="T28" s="49">
        <f>Table!X28</f>
        <v>5.506558273921945</v>
      </c>
      <c r="U28" s="18">
        <v>0</v>
      </c>
    </row>
    <row r="29" spans="2:21" ht="12.75">
      <c r="B29" s="7"/>
      <c r="C29" s="7"/>
      <c r="D29" s="31"/>
      <c r="E29" s="31"/>
      <c r="F29" s="31"/>
      <c r="G29" s="31"/>
      <c r="H29" s="31"/>
      <c r="I29" s="31"/>
      <c r="U29" s="42"/>
    </row>
    <row r="30" spans="2:21" ht="12.75">
      <c r="B30" t="s">
        <v>28</v>
      </c>
      <c r="C30" s="19">
        <f aca="true" t="shared" si="11" ref="C30:T30">C12/C18*100</f>
        <v>113.49478546930776</v>
      </c>
      <c r="D30" s="19">
        <f t="shared" si="11"/>
        <v>113.15817355651112</v>
      </c>
      <c r="E30" s="19">
        <f t="shared" si="11"/>
        <v>89.7160968113715</v>
      </c>
      <c r="F30" s="19">
        <f t="shared" si="11"/>
        <v>64.04721454639892</v>
      </c>
      <c r="G30" s="19">
        <f t="shared" si="11"/>
        <v>35.2006552006552</v>
      </c>
      <c r="H30" s="19">
        <f t="shared" si="11"/>
        <v>9.790648988136777</v>
      </c>
      <c r="I30" s="19">
        <f t="shared" si="11"/>
        <v>9.128859483301827</v>
      </c>
      <c r="J30" s="19">
        <f t="shared" si="11"/>
        <v>7.213501052207485</v>
      </c>
      <c r="K30" s="19">
        <f t="shared" si="11"/>
        <v>11.806021549913401</v>
      </c>
      <c r="L30" s="19">
        <f t="shared" si="11"/>
        <v>9.361565380423272</v>
      </c>
      <c r="M30" s="19">
        <f t="shared" si="11"/>
        <v>6.623719980204909</v>
      </c>
      <c r="N30" s="19"/>
      <c r="O30" s="19">
        <f t="shared" si="11"/>
        <v>7.102458151117677</v>
      </c>
      <c r="P30" s="19">
        <f t="shared" si="11"/>
        <v>7.598512216867194</v>
      </c>
      <c r="Q30" s="19">
        <f t="shared" si="11"/>
        <v>7.8461412102868335</v>
      </c>
      <c r="R30" s="19">
        <f t="shared" si="11"/>
        <v>8.228721542242937</v>
      </c>
      <c r="S30" s="19">
        <f t="shared" si="11"/>
        <v>8.541825143843843</v>
      </c>
      <c r="T30" s="19">
        <f t="shared" si="11"/>
        <v>8.707272615376137</v>
      </c>
      <c r="U30" s="19"/>
    </row>
    <row r="31" spans="2:21" ht="12.75">
      <c r="B31" s="7"/>
      <c r="C31" s="7"/>
      <c r="D31" s="31"/>
      <c r="E31" s="31"/>
      <c r="F31" s="31"/>
      <c r="G31" s="31"/>
      <c r="H31" s="31"/>
      <c r="I31" s="31"/>
      <c r="U31" s="42"/>
    </row>
    <row r="32" spans="2:21" ht="12.75">
      <c r="B32" s="48" t="s">
        <v>76</v>
      </c>
      <c r="C32" s="7"/>
      <c r="D32" s="19">
        <f>Input_external!H27</f>
        <v>-0.8771599999999999</v>
      </c>
      <c r="E32" s="19">
        <f>Input_external!I27</f>
        <v>-4.751099999999999</v>
      </c>
      <c r="F32" s="19">
        <f>Input_external!J27</f>
        <v>-6.174078</v>
      </c>
      <c r="G32" s="19">
        <f>Input_external!K27</f>
        <v>-15.4545</v>
      </c>
      <c r="H32" s="19">
        <f>Input_external!L27</f>
        <v>-14.290199999999999</v>
      </c>
      <c r="I32" s="19">
        <f>Input_external!M27</f>
        <v>-29.25</v>
      </c>
      <c r="J32" s="19">
        <f>Input_external!N27</f>
        <v>-32.552195</v>
      </c>
      <c r="K32" s="19">
        <f>Input_external!O27</f>
        <v>0.9994119999999901</v>
      </c>
      <c r="L32" s="19">
        <f>Input_external!P27</f>
        <v>-9.66064582097</v>
      </c>
      <c r="M32" s="19">
        <f>Input_external!Q27</f>
        <v>-17.14824545487104</v>
      </c>
      <c r="N32" s="19"/>
      <c r="O32" s="35">
        <f aca="true" t="shared" si="12" ref="O32:T32">O71</f>
        <v>-9.961855854721192</v>
      </c>
      <c r="P32" s="35">
        <f t="shared" si="12"/>
        <v>-6.569575252326838</v>
      </c>
      <c r="Q32" s="35">
        <f t="shared" si="12"/>
        <v>-7.783101512232709</v>
      </c>
      <c r="R32" s="35">
        <f t="shared" si="12"/>
        <v>-7.764993911580639</v>
      </c>
      <c r="S32" s="35">
        <f t="shared" si="12"/>
        <v>-8.31548145502676</v>
      </c>
      <c r="T32" s="35">
        <f t="shared" si="12"/>
        <v>-10.31885699025916</v>
      </c>
      <c r="U32" s="52"/>
    </row>
    <row r="33" spans="2:21" ht="12.75">
      <c r="B33" s="12" t="s">
        <v>38</v>
      </c>
      <c r="C33" s="7"/>
      <c r="D33" s="19">
        <f aca="true" t="shared" si="13" ref="D33:T33">D32/D37*100</f>
        <v>-1.5453651588396569</v>
      </c>
      <c r="E33" s="19">
        <f t="shared" si="13"/>
        <v>-7.00095928450393</v>
      </c>
      <c r="F33" s="19">
        <f t="shared" si="13"/>
        <v>-7.2343915466465045</v>
      </c>
      <c r="G33" s="19">
        <f t="shared" si="13"/>
        <v>-14.97235056239753</v>
      </c>
      <c r="H33" s="19">
        <f t="shared" si="13"/>
        <v>-12.183821344623622</v>
      </c>
      <c r="I33" s="19">
        <f t="shared" si="13"/>
        <v>-21.77905804732329</v>
      </c>
      <c r="J33" s="19">
        <f t="shared" si="13"/>
        <v>-18.956835317007386</v>
      </c>
      <c r="K33" s="19">
        <f t="shared" si="13"/>
        <v>0.7244024371680038</v>
      </c>
      <c r="L33" s="19">
        <f t="shared" si="13"/>
        <v>-6.00863563507751</v>
      </c>
      <c r="M33" s="19">
        <f t="shared" si="13"/>
        <v>-9.017597987456698</v>
      </c>
      <c r="N33" s="19"/>
      <c r="O33" s="19">
        <f t="shared" si="13"/>
        <v>-5.128478529678023</v>
      </c>
      <c r="P33" s="19">
        <f t="shared" si="13"/>
        <v>-3.272281595954814</v>
      </c>
      <c r="Q33" s="19">
        <f t="shared" si="13"/>
        <v>-3.697628794201577</v>
      </c>
      <c r="R33" s="19">
        <f t="shared" si="13"/>
        <v>-3.5548281164205644</v>
      </c>
      <c r="S33" s="19">
        <f t="shared" si="13"/>
        <v>-3.64420168408056</v>
      </c>
      <c r="T33" s="19">
        <f t="shared" si="13"/>
        <v>-4.3133720592350775</v>
      </c>
      <c r="U33" s="19"/>
    </row>
    <row r="34" spans="2:21" ht="12.75">
      <c r="B34" s="7"/>
      <c r="C34" s="7"/>
      <c r="D34" s="31"/>
      <c r="E34" s="31"/>
      <c r="F34" s="31"/>
      <c r="G34" s="31"/>
      <c r="H34" s="31"/>
      <c r="I34" s="31"/>
      <c r="U34" s="22" t="s">
        <v>131</v>
      </c>
    </row>
    <row r="35" spans="2:21" ht="12.75">
      <c r="B35" s="48" t="s">
        <v>46</v>
      </c>
      <c r="C35" s="14"/>
      <c r="D35" s="39"/>
      <c r="E35" s="39"/>
      <c r="F35" s="39"/>
      <c r="G35" s="39"/>
      <c r="H35" s="39"/>
      <c r="I35" s="39"/>
      <c r="J35" s="39"/>
      <c r="U35" s="30" t="s">
        <v>132</v>
      </c>
    </row>
    <row r="36" spans="2:21" ht="12.75">
      <c r="B36" s="5"/>
      <c r="C36" s="5"/>
      <c r="D36" s="32"/>
      <c r="E36" s="32"/>
      <c r="F36" s="32"/>
      <c r="G36" s="32"/>
      <c r="H36" s="32"/>
      <c r="I36" s="32"/>
      <c r="J36" s="28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2:21" ht="12.75">
      <c r="B37" s="5" t="s">
        <v>75</v>
      </c>
      <c r="C37" s="18">
        <f>IF(ISNUMBER(Input_external!G$11),Input_external!G$11,".")</f>
        <v>54.74454445379784</v>
      </c>
      <c r="D37" s="18">
        <f>IF(ISNUMBER(Input_external!H$11),Input_external!H$11,".")</f>
        <v>56.76069471234998</v>
      </c>
      <c r="E37" s="18">
        <f>IF(ISNUMBER(Input_external!I$11),Input_external!I$11,".")</f>
        <v>67.86355707733058</v>
      </c>
      <c r="F37" s="18">
        <f>IF(ISNUMBER(Input_external!J$11),Input_external!J$11,".")</f>
        <v>85.34343158219005</v>
      </c>
      <c r="G37" s="18">
        <f>IF(ISNUMBER(Input_external!K$11),Input_external!K$11,".")</f>
        <v>103.22026548599102</v>
      </c>
      <c r="H37" s="18">
        <f>IF(ISNUMBER(Input_external!L$11),Input_external!L$11,".")</f>
        <v>117.28832519614924</v>
      </c>
      <c r="I37" s="18">
        <f>IF(ISNUMBER(Input_external!M$11),Input_external!M$11,".")</f>
        <v>134.30332908082272</v>
      </c>
      <c r="J37" s="18">
        <f>IF(ISNUMBER(Input_external!N$11),Input_external!N$11,".")</f>
        <v>171.71745418284743</v>
      </c>
      <c r="K37" s="42">
        <f>IF(ISNUMBER(Input_external!O$11),Input_external!O$11,".")</f>
        <v>137.96364406325236</v>
      </c>
      <c r="L37" s="42">
        <f>IF(ISNUMBER(Input_external!P$11),Input_external!P$11,".")</f>
        <v>160.77935837168434</v>
      </c>
      <c r="M37" s="42">
        <f>IF(ISNUMBER(Input_external!Q$11),Input_external!Q$11,".")</f>
        <v>190.16422642397583</v>
      </c>
      <c r="O37" s="42">
        <f>M37*(1+O38/100)*(1+O41/100)</f>
        <v>194.24583328316322</v>
      </c>
      <c r="P37" s="42">
        <f aca="true" t="shared" si="14" ref="P37:U37">O37*(1+P38/100)*(1+P41/100)</f>
        <v>200.76436149163112</v>
      </c>
      <c r="Q37" s="42">
        <f t="shared" si="14"/>
        <v>210.48899025336863</v>
      </c>
      <c r="R37" s="42">
        <f t="shared" si="14"/>
        <v>218.43514390224257</v>
      </c>
      <c r="S37" s="42">
        <f t="shared" si="14"/>
        <v>228.18389803595005</v>
      </c>
      <c r="T37" s="42">
        <f t="shared" si="14"/>
        <v>239.22946707474804</v>
      </c>
      <c r="U37" s="42">
        <f t="shared" si="14"/>
        <v>250.80971273376767</v>
      </c>
    </row>
    <row r="38" spans="2:21" ht="12.75">
      <c r="B38" s="5" t="s">
        <v>44</v>
      </c>
      <c r="C38" s="5"/>
      <c r="D38" s="18">
        <f>(Input_external!H13/Input_external!G13-1)*100</f>
        <v>4.699999999999993</v>
      </c>
      <c r="E38" s="18">
        <f>(Input_external!I13/Input_external!H13-1)*100</f>
        <v>6.899999999999995</v>
      </c>
      <c r="F38" s="18">
        <f>(Input_external!J13/Input_external!I13-1)*100</f>
        <v>5.199999999999916</v>
      </c>
      <c r="G38" s="18">
        <f>(Input_external!K13/Input_external!J13-1)*100</f>
        <v>5.100000000000082</v>
      </c>
      <c r="H38" s="18">
        <f>(Input_external!L13/Input_external!K13-1)*100</f>
        <v>2.0000000000000684</v>
      </c>
      <c r="I38" s="18">
        <f>(Input_external!M13/Input_external!L13-1)*100</f>
        <v>3.000000000000047</v>
      </c>
      <c r="J38" s="18">
        <f>(Input_external!N13/Input_external!M13-1)*100</f>
        <v>2.3999999999999577</v>
      </c>
      <c r="K38" s="42">
        <f>(Input_external!O13/Input_external!N13-1)*100</f>
        <v>2.4389514241625054</v>
      </c>
      <c r="L38" s="42">
        <f>(Input_external!P13/Input_external!O13-1)*100</f>
        <v>3.286748135925688</v>
      </c>
      <c r="M38" s="42">
        <f>(Input_external!Q13/Input_external!P13-1)*100</f>
        <v>2.4703910269243456</v>
      </c>
      <c r="O38" s="42">
        <f>(Input_external!R13/Input_external!Q13-1)*100</f>
        <v>3.060629831131245</v>
      </c>
      <c r="P38" s="42">
        <f>(Input_external!S13/Input_external!R13-1)*100</f>
        <v>3.567012161902805</v>
      </c>
      <c r="Q38" s="42">
        <f>(Input_external!T13/Input_external!S13-1)*100</f>
        <v>3.5096586367163063</v>
      </c>
      <c r="R38" s="42">
        <f>(Input_external!U13/Input_external!T13-1)*100</f>
        <v>3.5550460844580023</v>
      </c>
      <c r="S38" s="42">
        <f>(Input_external!V13/Input_external!U13-1)*100</f>
        <v>4.2611033627514505</v>
      </c>
      <c r="T38" s="42">
        <f>(Input_external!W13/Input_external!V13-1)*100</f>
        <v>4.330586796355673</v>
      </c>
      <c r="U38" s="42">
        <f>T38</f>
        <v>4.330586796355673</v>
      </c>
    </row>
    <row r="39" spans="2:21" ht="12.75">
      <c r="B39" s="11" t="s">
        <v>53</v>
      </c>
      <c r="C39" s="11"/>
      <c r="D39" s="18">
        <f>Input_external!H33</f>
        <v>-3.0959352123882455</v>
      </c>
      <c r="E39" s="18">
        <f>Input_external!I33</f>
        <v>2.954842044059691</v>
      </c>
      <c r="F39" s="18">
        <f>Input_external!J33</f>
        <v>7.3956536641074155</v>
      </c>
      <c r="G39" s="18">
        <f>Input_external!K33</f>
        <v>-1.652660131054151</v>
      </c>
      <c r="H39" s="18">
        <f>Input_external!L33</f>
        <v>0.8667873268701332</v>
      </c>
      <c r="I39" s="18">
        <f>Input_external!M33</f>
        <v>4.840670357307153</v>
      </c>
      <c r="J39" s="18">
        <f>Input_external!N33</f>
        <v>7.292344091615721</v>
      </c>
      <c r="K39" s="18">
        <f>Input_external!O33</f>
        <v>-11.203078746447526</v>
      </c>
      <c r="L39" s="18">
        <f>Input_external!P33</f>
        <v>-2.9526164307339897</v>
      </c>
      <c r="M39" s="18">
        <f>Input_external!Q33</f>
        <v>3.084047038887072</v>
      </c>
      <c r="N39" s="18"/>
      <c r="O39" s="18">
        <f>Input_external!R33</f>
        <v>-2.3437633368933453</v>
      </c>
      <c r="P39" s="18">
        <f>Input_external!S33</f>
        <v>-2.088832794258577</v>
      </c>
      <c r="Q39" s="18">
        <f>Input_external!T33</f>
        <v>-1.7548474059878805</v>
      </c>
      <c r="R39" s="18">
        <f>Input_external!U33</f>
        <v>-1.716177295824528</v>
      </c>
      <c r="S39" s="18">
        <f>Input_external!V33</f>
        <v>-1.6847996711095492</v>
      </c>
      <c r="T39" s="18">
        <f>Input_external!W33</f>
        <v>-1.6715830875122517</v>
      </c>
      <c r="U39" s="42">
        <f>T39</f>
        <v>-1.6715830875122517</v>
      </c>
    </row>
    <row r="40" spans="2:21" ht="12.75">
      <c r="B40" s="11" t="s">
        <v>64</v>
      </c>
      <c r="C40" s="11"/>
      <c r="D40" s="18">
        <f>Input_external!H34</f>
        <v>2.1923014274317643</v>
      </c>
      <c r="E40" s="18">
        <f>Input_external!I34</f>
        <v>8.63366592530288</v>
      </c>
      <c r="F40" s="18">
        <f>Input_external!J34</f>
        <v>11.309193604047806</v>
      </c>
      <c r="G40" s="18">
        <f>Input_external!K34</f>
        <v>17.01176675561664</v>
      </c>
      <c r="H40" s="18">
        <f>Input_external!L34</f>
        <v>10.443828491256802</v>
      </c>
      <c r="I40" s="18">
        <f>Input_external!M34</f>
        <v>6.038842699668545</v>
      </c>
      <c r="J40" s="18">
        <f>Input_external!N34</f>
        <v>16.37480674845806</v>
      </c>
      <c r="K40" s="18">
        <f>Input_external!O34</f>
        <v>-11.674280643559175</v>
      </c>
      <c r="L40" s="18">
        <f>Input_external!P34</f>
        <v>16.26184179685266</v>
      </c>
      <c r="M40" s="18">
        <f>Input_external!Q34</f>
        <v>11.97180418387267</v>
      </c>
      <c r="N40" s="18"/>
      <c r="O40" s="18">
        <f>Input_external!R34</f>
        <v>1.4916035372531944</v>
      </c>
      <c r="P40" s="18">
        <f>Input_external!S34</f>
        <v>1.9251208601722025</v>
      </c>
      <c r="Q40" s="18">
        <f>Input_external!T34</f>
        <v>3.0981221359417166</v>
      </c>
      <c r="R40" s="18">
        <f>Input_external!U34</f>
        <v>1.9623466631461417</v>
      </c>
      <c r="S40" s="18">
        <f>Input_external!V34</f>
        <v>1.9106324312814449</v>
      </c>
      <c r="T40" s="18">
        <f>Input_external!W34</f>
        <v>2.197196160975312</v>
      </c>
      <c r="U40" s="42">
        <f>T40</f>
        <v>2.197196160975312</v>
      </c>
    </row>
    <row r="41" spans="2:21" s="24" customFormat="1" ht="12.75">
      <c r="B41" s="36" t="s">
        <v>65</v>
      </c>
      <c r="C41" s="36"/>
      <c r="D41" s="37">
        <f>((1+D39/100)*(1+D40/100)-1)*100</f>
        <v>-0.9715060168100309</v>
      </c>
      <c r="E41" s="37">
        <f aca="true" t="shared" si="15" ref="E41:O41">((1+E39/100)*(1+E40/100)-1)*100</f>
        <v>11.843619160067087</v>
      </c>
      <c r="F41" s="37">
        <f t="shared" si="15"/>
        <v>19.541236059313995</v>
      </c>
      <c r="G41" s="37">
        <f t="shared" si="15"/>
        <v>15.077959937804497</v>
      </c>
      <c r="H41" s="37">
        <f t="shared" si="15"/>
        <v>11.401141599929199</v>
      </c>
      <c r="I41" s="37">
        <f t="shared" si="15"/>
        <v>11.17183352546296</v>
      </c>
      <c r="J41" s="37">
        <f t="shared" si="15"/>
        <v>24.861258092508454</v>
      </c>
      <c r="K41" s="37">
        <f t="shared" si="15"/>
        <v>-21.569480536427488</v>
      </c>
      <c r="L41" s="37">
        <f t="shared" si="15"/>
        <v>12.82907555328483</v>
      </c>
      <c r="M41" s="37">
        <f t="shared" si="15"/>
        <v>15.425067295193816</v>
      </c>
      <c r="N41" s="37"/>
      <c r="O41" s="37">
        <f t="shared" si="15"/>
        <v>-0.8871194564780915</v>
      </c>
      <c r="P41" s="37">
        <f>((1+P39/100)*(1+P40/100)-1)*100</f>
        <v>-0.2039244899427639</v>
      </c>
      <c r="Q41" s="37">
        <f>((1+Q39/100)*(1+Q40/100)-1)*100</f>
        <v>1.2889074140169265</v>
      </c>
      <c r="R41" s="37">
        <f>((1+R39/100)*(1+R40/100)-1)*100</f>
        <v>0.21249201942332707</v>
      </c>
      <c r="S41" s="37">
        <f>((1+S39/100)*(1+S40/100)-1)*100</f>
        <v>0.19364243125354896</v>
      </c>
      <c r="T41" s="37">
        <f>((1+T39/100)*(1+T40/100)-1)*100</f>
        <v>0.4888851140367301</v>
      </c>
      <c r="U41" s="42">
        <f>T41</f>
        <v>0.4888851140367301</v>
      </c>
    </row>
    <row r="42" spans="2:21" ht="12.75">
      <c r="B42" s="11" t="s">
        <v>45</v>
      </c>
      <c r="C42" s="11"/>
      <c r="D42" s="18">
        <f>IF(ISNUMBER(100*Input_external!H5/Input_external!G4),(100*Input_external!H5/Input_external!G4),".")</f>
        <v>10.440068719439672</v>
      </c>
      <c r="E42" s="18">
        <f>IF(ISNUMBER(100*Input_external!I5/Input_external!H4),(100*Input_external!I5/Input_external!H4),".")</f>
        <v>9.186467626534759</v>
      </c>
      <c r="F42" s="18">
        <f>IF(ISNUMBER(100*Input_external!J5/Input_external!I4),(100*Input_external!J5/Input_external!I4),".")</f>
        <v>8.52135262556149</v>
      </c>
      <c r="G42" s="18">
        <f>IF(ISNUMBER(100*Input_external!K5/Input_external!J4),(100*Input_external!K5/Input_external!J4),".")</f>
        <v>7.469868475321937</v>
      </c>
      <c r="H42" s="18">
        <f>IF(ISNUMBER(100*Input_external!L5/Input_external!K4),(100*Input_external!L5/Input_external!K4),".")</f>
        <v>12.563983248022335</v>
      </c>
      <c r="I42" s="18">
        <f>IF(ISNUMBER(100*Input_external!M5/Input_external!L4),(100*Input_external!M5/Input_external!L4),".")</f>
        <v>4.098360655737705</v>
      </c>
      <c r="J42" s="18">
        <f>IF(ISNUMBER(100*Input_external!N5/Input_external!M4),(100*Input_external!N5/Input_external!M4),".")</f>
        <v>3.278688524590164</v>
      </c>
      <c r="K42" s="42">
        <f>IF(ISNUMBER(100*Input_external!O5/Input_external!N4),(100*Input_external!O5/Input_external!N4),".")</f>
        <v>2.8711366323256207</v>
      </c>
      <c r="L42" s="42">
        <f>IF(ISNUMBER(100*Input_external!P5/Input_external!O4),(100*Input_external!P5/Input_external!O4),".")</f>
        <v>1.9342257733825916</v>
      </c>
      <c r="M42" s="42">
        <f>IF(ISNUMBER(100*Input_external!Q5/Input_external!P4),(100*Input_external!Q5/Input_external!P4),".")</f>
        <v>2.18636103076144</v>
      </c>
      <c r="O42" s="42">
        <f>IF(ISNUMBER(100*Input_external!R5/Input_external!Q4),(100*Input_external!R5/Input_external!Q4),".")</f>
        <v>2.457618941884664</v>
      </c>
      <c r="P42" s="51">
        <f>Table!T42+0.5*$L$53</f>
        <v>4.4220967737597014</v>
      </c>
      <c r="Q42" s="51">
        <f>Table!U42+0.5*$L$53</f>
        <v>4.432949491521217</v>
      </c>
      <c r="R42" s="51">
        <f>Table!V42+0.5*$L$53</f>
        <v>4.819824803995758</v>
      </c>
      <c r="S42" s="51">
        <f>Table!W42+0.5*$L$53</f>
        <v>4.8337618330707395</v>
      </c>
      <c r="T42" s="51">
        <f>Table!X42+0.5*$L$53</f>
        <v>4.821566879574463</v>
      </c>
      <c r="U42" s="42">
        <f>T42</f>
        <v>4.821566879574463</v>
      </c>
    </row>
    <row r="43" spans="2:20" ht="12.75">
      <c r="B43" s="11" t="s">
        <v>69</v>
      </c>
      <c r="C43" s="11"/>
      <c r="D43" s="18">
        <f>(Input_external!H7/Input_external!G7-1)*100</f>
        <v>0.03679668829805749</v>
      </c>
      <c r="E43" s="18">
        <f>(Input_external!I7/Input_external!H7-1)*100</f>
        <v>30.09041858828656</v>
      </c>
      <c r="F43" s="18">
        <f>(Input_external!J7/Input_external!I7-1)*100</f>
        <v>30.88812139838646</v>
      </c>
      <c r="G43" s="18">
        <f>(Input_external!K7/Input_external!J7-1)*100</f>
        <v>43.351173568861334</v>
      </c>
      <c r="H43" s="18">
        <f>(Input_external!L7/Input_external!K7-1)*100</f>
        <v>17.362817362817353</v>
      </c>
      <c r="I43" s="18">
        <f>(Input_external!M7/Input_external!L7-1)*100</f>
        <v>10.746685275645484</v>
      </c>
      <c r="J43" s="18">
        <f>(Input_external!N7/Input_external!M7-1)*100</f>
        <v>29.304024889729053</v>
      </c>
      <c r="K43" s="42">
        <f>(Input_external!O7/Input_external!N7-1)*100</f>
        <v>-41.31420583964647</v>
      </c>
      <c r="L43" s="42">
        <f>(Input_external!P7/Input_external!O7-1)*100</f>
        <v>25.970139332677444</v>
      </c>
      <c r="M43" s="42">
        <f>(Input_external!Q7/Input_external!P7-1)*100</f>
        <v>26.57877107911211</v>
      </c>
      <c r="O43" s="42">
        <f>(Input_external!R7/Input_external!Q7-1)*100</f>
        <v>-8.314751312826118</v>
      </c>
      <c r="P43" s="42">
        <f>(Input_external!S7/Input_external!R7-1)*100</f>
        <v>-3.3885534213677904</v>
      </c>
      <c r="Q43" s="42">
        <f>(Input_external!T7/Input_external!S7-1)*100</f>
        <v>0.6925607957811497</v>
      </c>
      <c r="R43" s="42">
        <f>(Input_external!U7/Input_external!T7-1)*100</f>
        <v>-2.349152716427272</v>
      </c>
      <c r="S43" s="42">
        <f>(Input_external!V7/Input_external!U7-1)*100</f>
        <v>-0.4436811669179752</v>
      </c>
      <c r="T43" s="42">
        <f>(Input_external!W7/Input_external!V7-1)*100</f>
        <v>0.7579990791025448</v>
      </c>
    </row>
    <row r="44" spans="2:20" ht="12.75">
      <c r="B44" s="11" t="s">
        <v>70</v>
      </c>
      <c r="C44" s="11"/>
      <c r="D44" s="18">
        <f>(Input_external!H8/Input_external!G8-1)*100</f>
        <v>21.540010065425253</v>
      </c>
      <c r="E44" s="18">
        <f>(Input_external!I8/Input_external!H8-1)*100</f>
        <v>12.298136645962732</v>
      </c>
      <c r="F44" s="18">
        <f>(Input_external!J8/Input_external!I8-1)*100</f>
        <v>34.05850540806294</v>
      </c>
      <c r="G44" s="18">
        <f>(Input_external!K8/Input_external!J8-1)*100</f>
        <v>12.941230402493819</v>
      </c>
      <c r="H44" s="18">
        <f>(Input_external!L8/Input_external!K8-1)*100</f>
        <v>3.340504119819787</v>
      </c>
      <c r="I44" s="18">
        <f>(Input_external!M8/Input_external!L8-1)*100</f>
        <v>30.714846818538888</v>
      </c>
      <c r="J44" s="18">
        <f>(Input_external!N8/Input_external!M8-1)*100</f>
        <v>47.44591346153846</v>
      </c>
      <c r="K44" s="42">
        <f>(Input_external!O8/Input_external!N8-1)*100</f>
        <v>0.020379050336249982</v>
      </c>
      <c r="L44" s="42">
        <f>(Input_external!P8/Input_external!O8-1)*100</f>
        <v>3.4839262428687734</v>
      </c>
      <c r="M44" s="42">
        <f>(Input_external!Q8/Input_external!P8-1)*100</f>
        <v>11.325841860618159</v>
      </c>
      <c r="O44" s="42">
        <f>(Input_external!R8/Input_external!Q8-1)*100</f>
        <v>1.6240463094898239</v>
      </c>
      <c r="P44" s="42">
        <f>(Input_external!S8/Input_external!R8-1)*100</f>
        <v>1.3781896600373544</v>
      </c>
      <c r="Q44" s="42">
        <f>(Input_external!T8/Input_external!S8-1)*100</f>
        <v>0.22698804068845835</v>
      </c>
      <c r="R44" s="42">
        <f>(Input_external!U8/Input_external!T8-1)*100</f>
        <v>-1.3526992764481216</v>
      </c>
      <c r="S44" s="42">
        <f>(Input_external!V8/Input_external!U8-1)*100</f>
        <v>0.2609175789251905</v>
      </c>
      <c r="T44" s="42">
        <f>(Input_external!W8/Input_external!V8-1)*100</f>
        <v>2.1076190543933393</v>
      </c>
    </row>
    <row r="45" spans="2:3" ht="12.75">
      <c r="B45" s="11"/>
      <c r="C45" s="11"/>
    </row>
    <row r="46" spans="2:20" ht="12.75">
      <c r="B46" s="140" t="s">
        <v>175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</row>
    <row r="47" spans="4:9" ht="12.75">
      <c r="D47" s="1"/>
      <c r="E47" s="1"/>
      <c r="F47" s="28"/>
      <c r="G47" s="28"/>
      <c r="H47" s="28"/>
      <c r="I47" s="28"/>
    </row>
    <row r="48" spans="2:12" ht="12.75">
      <c r="B48" s="1" t="s">
        <v>56</v>
      </c>
      <c r="C48" s="16"/>
      <c r="J48" s="38" t="s">
        <v>57</v>
      </c>
      <c r="L48" s="38" t="s">
        <v>59</v>
      </c>
    </row>
    <row r="49" spans="10:12" ht="12.75">
      <c r="J49" s="20" t="s">
        <v>58</v>
      </c>
      <c r="L49" s="20" t="s">
        <v>60</v>
      </c>
    </row>
    <row r="50" spans="10:12" ht="12.75">
      <c r="J50" s="21"/>
      <c r="L50" s="21"/>
    </row>
    <row r="51" spans="2:12" ht="12.75">
      <c r="B51" t="s">
        <v>61</v>
      </c>
      <c r="J51" s="42">
        <f>-Table!O45</f>
        <v>-15.344347784252289</v>
      </c>
      <c r="L51" s="42">
        <f>Table!Q45</f>
        <v>7.968785501420509</v>
      </c>
    </row>
    <row r="52" spans="2:12" ht="12.75">
      <c r="B52" t="s">
        <v>62</v>
      </c>
      <c r="J52" s="42">
        <f>Table!O46</f>
        <v>1.22504412569226</v>
      </c>
      <c r="L52" s="19" t="s">
        <v>71</v>
      </c>
    </row>
    <row r="53" spans="2:14" ht="12.75">
      <c r="B53" t="s">
        <v>63</v>
      </c>
      <c r="J53" s="42">
        <f>Table!O42</f>
        <v>6.255051331167772</v>
      </c>
      <c r="K53" s="40"/>
      <c r="L53" s="42">
        <f>Table!Q42</f>
        <v>3.8399479075665797</v>
      </c>
      <c r="M53" s="40"/>
      <c r="N53" s="40"/>
    </row>
    <row r="54" spans="2:12" ht="12.75">
      <c r="B54" t="s">
        <v>44</v>
      </c>
      <c r="D54" s="1"/>
      <c r="E54" s="1"/>
      <c r="F54" s="28"/>
      <c r="G54" s="28"/>
      <c r="H54" s="28"/>
      <c r="I54" s="28"/>
      <c r="J54" s="42">
        <f>Table!O38</f>
        <v>3.7496090587012603</v>
      </c>
      <c r="L54" s="42">
        <f>Table!Q38</f>
        <v>1.6250931000133242</v>
      </c>
    </row>
    <row r="55" spans="2:12" ht="12.75">
      <c r="B55" s="36" t="s">
        <v>65</v>
      </c>
      <c r="J55" s="42">
        <f>Table!O41</f>
        <v>9.961020467032732</v>
      </c>
      <c r="L55" s="42">
        <f>Table!Q41</f>
        <v>12.90494760066813</v>
      </c>
    </row>
    <row r="57" spans="2:20" ht="12.75">
      <c r="B57" s="3"/>
      <c r="C57" s="3"/>
      <c r="D57" s="3"/>
      <c r="E57" s="3"/>
      <c r="F57" s="38"/>
      <c r="G57" s="38"/>
      <c r="H57" s="38"/>
      <c r="I57" s="38"/>
      <c r="J57" s="38"/>
      <c r="K57" s="44"/>
      <c r="L57" s="44"/>
      <c r="M57" s="44"/>
      <c r="N57" s="44"/>
      <c r="O57" s="44"/>
      <c r="P57" s="44"/>
      <c r="Q57" s="44"/>
      <c r="R57" s="44"/>
      <c r="S57" s="44"/>
      <c r="T57" s="44"/>
    </row>
    <row r="58" spans="2:20" ht="12.75">
      <c r="B58" s="10" t="s">
        <v>92</v>
      </c>
      <c r="C58" s="5"/>
      <c r="D58" s="5"/>
      <c r="E58" s="5"/>
      <c r="F58" s="21"/>
      <c r="G58" s="21"/>
      <c r="H58" s="21"/>
      <c r="I58" s="21"/>
      <c r="J58" s="21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2:3" ht="12.75">
      <c r="B59" s="10" t="s">
        <v>93</v>
      </c>
      <c r="C59" s="10"/>
    </row>
    <row r="60" spans="2:3" ht="12.75">
      <c r="B60" s="10" t="s">
        <v>94</v>
      </c>
      <c r="C60" s="10"/>
    </row>
    <row r="61" spans="2:3" ht="12.75">
      <c r="B61" s="10" t="s">
        <v>95</v>
      </c>
      <c r="C61" s="10"/>
    </row>
    <row r="62" spans="2:3" ht="12.75">
      <c r="B62" s="10" t="s">
        <v>91</v>
      </c>
      <c r="C62" s="10"/>
    </row>
    <row r="63" spans="2:3" ht="12.75">
      <c r="B63" s="10"/>
      <c r="C63" s="10"/>
    </row>
    <row r="65" ht="12.75">
      <c r="B65" s="1" t="s">
        <v>83</v>
      </c>
    </row>
    <row r="66" spans="2:20" ht="12.75">
      <c r="B66" t="s">
        <v>74</v>
      </c>
      <c r="M66" s="42">
        <f aca="true" t="shared" si="16" ref="M66:T66">M12/100*M37</f>
        <v>5.0875934142973</v>
      </c>
      <c r="O66" s="42">
        <f t="shared" si="16"/>
        <v>4.884482602310538</v>
      </c>
      <c r="P66" s="42">
        <f t="shared" si="16"/>
        <v>4.943098474883142</v>
      </c>
      <c r="Q66" s="42">
        <f t="shared" si="16"/>
        <v>5.049348356079134</v>
      </c>
      <c r="R66" s="42">
        <f t="shared" si="16"/>
        <v>5.082409283938964</v>
      </c>
      <c r="S66" s="42">
        <f t="shared" si="16"/>
        <v>5.163895497017329</v>
      </c>
      <c r="T66" s="42">
        <f t="shared" si="16"/>
        <v>5.215158249835447</v>
      </c>
    </row>
    <row r="67" spans="2:20" ht="12.75">
      <c r="B67" t="s">
        <v>79</v>
      </c>
      <c r="M67" s="42">
        <f>Input_external!Q28/100*'A1_historical'!M66</f>
        <v>0</v>
      </c>
      <c r="O67" s="42">
        <f>Input_external!R28/100*O66</f>
        <v>0</v>
      </c>
      <c r="P67" s="42">
        <f>Input_external!S28/100*P66</f>
        <v>0</v>
      </c>
      <c r="Q67" s="42">
        <f>Input_external!T28/100*Q66</f>
        <v>0</v>
      </c>
      <c r="R67" s="42">
        <f>Input_external!U28/100*R66</f>
        <v>0</v>
      </c>
      <c r="S67" s="42">
        <f>Input_external!V28/100*S66</f>
        <v>0</v>
      </c>
      <c r="T67" s="42">
        <f>Input_external!W28/100*T66</f>
        <v>0</v>
      </c>
    </row>
    <row r="68" spans="2:20" ht="12.75">
      <c r="B68" s="6" t="s">
        <v>80</v>
      </c>
      <c r="O68" s="42">
        <f>(O66-O67)/Input_external!R29</f>
        <v>0.846984113616254</v>
      </c>
      <c r="P68" s="42">
        <f>(P66-P67)/Input_external!S29</f>
        <v>0.7196017155699802</v>
      </c>
      <c r="Q68" s="42">
        <f>(Q66-Q67)/Input_external!T29</f>
        <v>0.6182466729009752</v>
      </c>
      <c r="R68" s="42">
        <f>(R66-R67)/Input_external!U29</f>
        <v>0.7233930757629885</v>
      </c>
      <c r="S68" s="42">
        <f>(S66-S67)/Input_external!V29</f>
        <v>0.6704051226205767</v>
      </c>
      <c r="T68" s="42">
        <f>(T66-T67)/Input_external!W29</f>
        <v>0.7056123755312355</v>
      </c>
    </row>
    <row r="69" spans="2:20" ht="12.75">
      <c r="B69" s="6" t="s">
        <v>81</v>
      </c>
      <c r="O69" s="42">
        <f>O42/100*M66</f>
        <v>0.12503365943584716</v>
      </c>
      <c r="P69" s="42">
        <f>P42/100*O66</f>
        <v>0.21599654757162817</v>
      </c>
      <c r="Q69" s="42">
        <f>Q42/100*P66</f>
        <v>0.21912505870772528</v>
      </c>
      <c r="R69" s="42">
        <f>R42/100*Q66</f>
        <v>0.24336974450645416</v>
      </c>
      <c r="S69" s="42">
        <f>S42/100*R66</f>
        <v>0.24567156016748554</v>
      </c>
      <c r="T69" s="42">
        <f>T42/100*S66</f>
        <v>0.2489806749800246</v>
      </c>
    </row>
    <row r="70" spans="2:20" ht="12.75">
      <c r="B70" t="s">
        <v>82</v>
      </c>
      <c r="O70" s="42">
        <f aca="true" t="shared" si="17" ref="O70:T70">O16/100*O37</f>
        <v>-10.933873627773293</v>
      </c>
      <c r="P70" s="42">
        <f t="shared" si="17"/>
        <v>-7.505173515468447</v>
      </c>
      <c r="Q70" s="42">
        <f t="shared" si="17"/>
        <v>-8.62047324384141</v>
      </c>
      <c r="R70" s="42">
        <f t="shared" si="17"/>
        <v>-8.731756731850082</v>
      </c>
      <c r="S70" s="42">
        <f t="shared" si="17"/>
        <v>-9.231558137814822</v>
      </c>
      <c r="T70" s="42">
        <f t="shared" si="17"/>
        <v>-11.27345004077042</v>
      </c>
    </row>
    <row r="71" spans="2:20" ht="12.75">
      <c r="B71" s="1" t="s">
        <v>33</v>
      </c>
      <c r="O71" s="42">
        <f>M67+O68+O69+O70</f>
        <v>-9.961855854721192</v>
      </c>
      <c r="P71" s="42">
        <f>O67+P68+P69+P70</f>
        <v>-6.569575252326838</v>
      </c>
      <c r="Q71" s="42">
        <f>P67+Q68+Q69+Q70</f>
        <v>-7.783101512232709</v>
      </c>
      <c r="R71" s="42">
        <f>Q67+R68+R69+R70</f>
        <v>-7.764993911580639</v>
      </c>
      <c r="S71" s="42">
        <f>R67+S68+S69+S70</f>
        <v>-8.31548145502676</v>
      </c>
      <c r="T71" s="42">
        <f>S67+T68+T69+T70</f>
        <v>-10.31885699025916</v>
      </c>
    </row>
  </sheetData>
  <sheetProtection/>
  <mergeCells count="5">
    <mergeCell ref="B46:T46"/>
    <mergeCell ref="B3:T3"/>
    <mergeCell ref="B4:T4"/>
    <mergeCell ref="F7:M7"/>
    <mergeCell ref="C10:T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External-Sustain-Table-Standard</dc:title>
  <dc:subject/>
  <dc:creator>spalazzo</dc:creator>
  <cp:keywords/>
  <dc:description/>
  <cp:lastModifiedBy>ysun3</cp:lastModifiedBy>
  <cp:lastPrinted>2012-02-24T15:26:25Z</cp:lastPrinted>
  <dcterms:created xsi:type="dcterms:W3CDTF">2002-02-01T16:07:27Z</dcterms:created>
  <dcterms:modified xsi:type="dcterms:W3CDTF">2015-04-21T15:22:01Z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ype">
    <vt:lpwstr>Basic Data</vt:lpwstr>
  </property>
  <property fmtid="{D5CDD505-2E9C-101B-9397-08002B2CF9AE}" pid="3" name="DocumentStatus">
    <vt:lpwstr>Final</vt:lpwstr>
  </property>
  <property fmtid="{D5CDD505-2E9C-101B-9397-08002B2CF9AE}" pid="4" name="Countries">
    <vt:lpwstr/>
  </property>
  <property fmtid="{D5CDD505-2E9C-101B-9397-08002B2CF9AE}" pid="5" name="Subjects">
    <vt:lpwstr/>
  </property>
  <property fmtid="{D5CDD505-2E9C-101B-9397-08002B2CF9AE}" pid="6" name="DeptDiv">
    <vt:lpwstr>SPRDP</vt:lpwstr>
  </property>
  <property fmtid="{D5CDD505-2E9C-101B-9397-08002B2CF9AE}" pid="7" name="ContentType">
    <vt:lpwstr>IMF Word Document</vt:lpwstr>
  </property>
  <property fmtid="{D5CDD505-2E9C-101B-9397-08002B2CF9AE}" pid="8" name="SecurityClassification">
    <vt:lpwstr>FOR OFFICIAL USE ONLY</vt:lpwstr>
  </property>
  <property fmtid="{D5CDD505-2E9C-101B-9397-08002B2CF9AE}" pid="9" name="KeyOutput">
    <vt:lpwstr/>
  </property>
  <property fmtid="{D5CDD505-2E9C-101B-9397-08002B2CF9AE}" pid="10" name="_AdHocReviewCycleID">
    <vt:i4>1645917641</vt:i4>
  </property>
  <property fmtid="{D5CDD505-2E9C-101B-9397-08002B2CF9AE}" pid="11" name="_NewReviewCycle">
    <vt:lpwstr/>
  </property>
  <property fmtid="{D5CDD505-2E9C-101B-9397-08002B2CF9AE}" pid="12" name="_EmailSubject">
    <vt:lpwstr>DSA template for market access countries--posting to the external web site</vt:lpwstr>
  </property>
  <property fmtid="{D5CDD505-2E9C-101B-9397-08002B2CF9AE}" pid="13" name="_AuthorEmail">
    <vt:lpwstr>YSun3@imf.org</vt:lpwstr>
  </property>
  <property fmtid="{D5CDD505-2E9C-101B-9397-08002B2CF9AE}" pid="14" name="_AuthorEmailDisplayName">
    <vt:lpwstr>Sun-Wang, Yan</vt:lpwstr>
  </property>
  <property fmtid="{D5CDD505-2E9C-101B-9397-08002B2CF9AE}" pid="15" name="_ReviewingToolsShownOnce">
    <vt:lpwstr/>
  </property>
</Properties>
</file>